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23C4E6-D77C-4B55-925E-66A863F1A868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D8" i="2"/>
  <c r="C8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<sst xmlns="http://schemas.openxmlformats.org/spreadsheetml/2006/main" count="253" uniqueCount="232">
  <si>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</si>
  <si>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</si>
  <si>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</si>
  <si>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</si>
  <si>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</si>
  <si>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</si>
  <si>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</si>
  <si>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</si>
  <si>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</si>
  <si>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</si>
  <si>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</si>
  <si>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</si>
  <si>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</si>
  <si>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</si>
  <si>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</si>
  <si>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</si>
  <si>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</si>
  <si>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</si>
  <si>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</si>
  <si>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</si>
  <si>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</si>
  <si>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</si>
  <si>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</si>
  <si>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</si>
  <si>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</si>
  <si>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</si>
  <si>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</si>
  <si>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</si>
  <si>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</si>
  <si>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</si>
  <si>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</si>
  <si>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</si>
  <si>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</si>
  <si>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</si>
  <si>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</si>
  <si>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</si>
  <si>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</si>
  <si>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</si>
  <si>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</si>
  <si>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</si>
  <si>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</si>
  <si>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</si>
  <si>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</si>
  <si>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</si>
  <si>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</si>
  <si>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</si>
  <si>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</si>
  <si>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</si>
  <si>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</si>
  <si>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</si>
  <si>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</si>
  <si>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</si>
  <si>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</si>
  <si>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</si>
  <si>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</si>
  <si>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</si>
  <si>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</si>
  <si>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</si>
  <si>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</si>
  <si>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</si>
  <si>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</si>
  <si>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</si>
  <si>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</si>
  <si>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</si>
  <si>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</si>
  <si>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</si>
  <si>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</si>
  <si>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</si>
  <si>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</si>
  <si>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</si>
  <si>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</si>
  <si>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</si>
  <si>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</si>
  <si>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</si>
  <si>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</si>
  <si>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</si>
  <si>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</si>
  <si>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</si>
  <si>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</si>
  <si>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</si>
  <si>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</si>
  <si>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</si>
  <si>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</si>
  <si>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</si>
  <si>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</si>
  <si>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</si>
  <si>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</si>
  <si>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</si>
  <si>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</si>
  <si>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</si>
  <si>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</si>
  <si>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</si>
  <si>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</si>
  <si>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</si>
  <si>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</si>
  <si>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</si>
  <si>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</si>
  <si>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</si>
  <si>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</si>
  <si>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</si>
  <si>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</si>
  <si>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</si>
  <si>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</si>
  <si>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</si>
  <si>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</si>
  <si>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</si>
  <si>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</si>
  <si>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</si>
  <si>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</si>
  <si>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</si>
  <si>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</si>
  <si>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</si>
  <si>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</si>
  <si>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</si>
  <si>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</si>
  <si>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</si>
  <si>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</si>
  <si>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</si>
  <si>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</si>
  <si>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</si>
  <si>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</si>
  <si>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</si>
  <si>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</si>
  <si>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</si>
  <si>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</si>
  <si>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</si>
  <si>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</si>
  <si>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</si>
  <si>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</si>
  <si>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</si>
  <si>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</si>
  <si>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</si>
  <si>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</si>
  <si>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</si>
  <si>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</si>
  <si>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</si>
  <si>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</si>
  <si>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</si>
  <si>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</si>
  <si>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</si>
  <si>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</si>
  <si>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</si>
  <si>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</si>
  <si>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</si>
  <si>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</si>
  <si>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</si>
  <si>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</si>
  <si>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</si>
  <si>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</si>
  <si>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</si>
  <si>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</si>
  <si>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</si>
  <si>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</si>
  <si>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</si>
  <si>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</si>
  <si>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</si>
  <si>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</si>
  <si>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</si>
  <si>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</si>
  <si>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</si>
  <si>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</si>
  <si>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</si>
  <si>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</si>
  <si>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</si>
  <si>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</si>
  <si>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</si>
  <si>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</si>
  <si>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</si>
  <si>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</si>
  <si>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</si>
  <si>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</si>
  <si>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</si>
  <si>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</si>
  <si>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</si>
  <si>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</si>
  <si>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</si>
  <si>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</si>
  <si>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</si>
  <si>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</si>
  <si>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</si>
  <si>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</si>
  <si>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</si>
  <si>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</si>
  <si>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</si>
  <si>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</si>
  <si>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</si>
  <si>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</si>
  <si>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</si>
  <si>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</si>
  <si>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</si>
  <si>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</si>
  <si>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</si>
  <si>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</si>
  <si>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</si>
  <si>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</si>
  <si>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</si>
  <si>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</si>
  <si>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</si>
  <si>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</si>
  <si>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</si>
  <si>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</si>
  <si>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</si>
  <si>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</si>
  <si>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</si>
  <si>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</si>
  <si>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</si>
  <si>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</si>
  <si>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</si>
  <si>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</si>
  <si>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</si>
  <si>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</si>
  <si>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</si>
  <si>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</si>
  <si>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</si>
  <si>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</si>
  <si>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</si>
  <si>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</si>
  <si>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</si>
  <si>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</si>
  <si>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</si>
  <si>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</si>
  <si>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</si>
  <si>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</si>
  <si>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</si>
  <si>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</si>
  <si>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</si>
  <si>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</si>
  <si>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</si>
  <si>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</si>
  <si>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0696.HK</t>
  </si>
  <si>
    <t>中國民航信息網絡</t>
  </si>
  <si>
    <t>C0009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</si>
</sst>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6" sqref="B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11.539999961853027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2926209589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33768.458545433961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231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0.48660635459513968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0.17055682117844595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2.1757339633768379E-3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0.12357639997060962</v>
      </c>
      <c r="F23" s="178" t="s">
        <v>209</v>
      </c>
      <c r="G23" s="184">
        <f>G3/(Data!C34*Data!E3/Common_Shares*Exchange_Rate)</f>
        <v>2420.3801753180296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3.6519850627800297E-2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0.41175629204954944</v>
      </c>
    </row>
    <row r="26" spans="1:8" ht="15.75" customHeight="1" x14ac:dyDescent="0.4">
      <c r="B26" s="176" t="s">
        <v>191</v>
      </c>
      <c r="C26" s="175">
        <f>Fin_Analysis!F83</f>
        <v>0.21708469029242794</v>
      </c>
      <c r="F26" s="180" t="s">
        <v>216</v>
      </c>
      <c r="G26" s="179">
        <f>Fin_Analysis!E87*Exchange_Rate/G3</f>
        <v>1.5037278280706459E-2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3.0900774356604273</v>
      </c>
      <c r="D29" s="165">
        <f>IF(Fin_Analysis!C106="Profit",Fin_Analysis!F98,IF(Fin_Analysis!C106="Dividend",Fin_Analysis!F101,Fin_Analysis!F104))</f>
        <v>4.6984843517429722</v>
      </c>
      <c r="E29" s="94"/>
      <c r="F29" s="167">
        <f>IF(Fin_Analysis!C106="Profit",Fin_Analysis!D98,IF(Fin_Analysis!C106="Dividend",Fin_Analysis!D101,Fin_Analysis!D104))</f>
        <v>3.758787481394378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6983846860.7700005</v>
      </c>
      <c r="D6" s="58">
        <v>5210105771.0900002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0.34044243391798124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3316518908.18+81865353.79</f>
        <v>3398384261.9699998</v>
      </c>
      <c r="D8" s="92">
        <f>3089870946.25+72359129</f>
        <v>3162230075.25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3585462598.8000007</v>
      </c>
      <c r="D9" s="101">
        <f t="shared" si="2"/>
        <v>2047875695.8400002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129150488.83+1061992231.34</f>
        <v>1191142720.1700001</v>
      </c>
      <c r="D10" s="92">
        <f>107041533.91+921526565.93</f>
        <v>1028568099.8399999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2394319878.6300006</v>
      </c>
      <c r="D13" s="101">
        <f t="shared" ref="D13:M13" si="4">IF(D6="","",(D9-D10+D12))</f>
        <v>1019307596.0000002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>
        <v>863038653</v>
      </c>
      <c r="D14" s="92">
        <v>701713632.36000001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15194992.810000001</v>
      </c>
      <c r="D17" s="92">
        <v>12415189.01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48923904</v>
      </c>
      <c r="D18" s="92">
        <v>52800637.210000001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1450854360.8200006</v>
      </c>
      <c r="D19" s="95">
        <f>IF(D6="","",D13-D14-MAX(D15,0)-MAX(D16,0)-D17-MAX(D18/(1-Fin_Analysis!$F$84),0))</f>
        <v>234777925.01666689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5.1796881487772088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0.15580822321969243</v>
      </c>
      <c r="D21" s="56">
        <f t="shared" si="6"/>
        <v>3.3796519974615018E-2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1088140770.6150005</v>
      </c>
      <c r="D22" s="95">
        <f>IF(D6="","",D19*(1-Fin_Analysis!$F$84))</f>
        <v>176083443.76250017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5.1796881487772088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104.15233070298973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0.48660635459513968</v>
      </c>
      <c r="D40" s="61">
        <f t="shared" si="21"/>
        <v>0.60694162732677759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0.17055682117844595</v>
      </c>
      <c r="D41" s="56">
        <f t="shared" si="22"/>
        <v>0.19741789227146811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0.12357639997060962</v>
      </c>
      <c r="D42" s="56">
        <f t="shared" si="23"/>
        <v>0.1346831836416241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2.1757339633768379E-3</v>
      </c>
      <c r="D44" s="56">
        <f t="shared" si="25"/>
        <v>2.3829053680425824E-3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9.3403926661713623E-3</v>
      </c>
      <c r="D45" s="56">
        <f>IF(D6="","",MAX(D18,0)/(1-Fin_Analysis!$F$84)/D6)</f>
        <v>1.3512364759267613E-2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0.20774429762625657</v>
      </c>
      <c r="D46" s="56">
        <f t="shared" si="26"/>
        <v>4.5062026632820024E-2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3.8055387710877916E-5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1.3849467482357697E-3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1497.0889591452844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1.0473134465000349E-2</v>
      </c>
      <c r="D53" s="56">
        <f t="shared" si="31"/>
        <v>5.2880563660823929E-2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9" zoomScaleNormal="100" workbookViewId="0">
      <selection activeCell="C108" sqref="C10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4048308.8135904786</v>
      </c>
      <c r="E6" s="56">
        <f>1-D6/D3</f>
        <v>0.68529688173907477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1.5004560067712982E-3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6983846860.7700005</v>
      </c>
      <c r="D74" s="130"/>
      <c r="E74" s="148">
        <f>C74</f>
        <v>6983846860.7700005</v>
      </c>
      <c r="F74" s="130"/>
    </row>
    <row r="75" spans="1:9" ht="15" customHeight="1" x14ac:dyDescent="0.4">
      <c r="B75" s="117" t="s">
        <v>109</v>
      </c>
      <c r="C75" s="95">
        <f>Data!C8</f>
        <v>3398384261.9699998</v>
      </c>
      <c r="D75" s="131">
        <f>C75/$C$74</f>
        <v>0.48660635459513968</v>
      </c>
      <c r="E75" s="148">
        <f>D75*E74</f>
        <v>3398384261.9699998</v>
      </c>
      <c r="F75" s="149">
        <f>E75/$E$74</f>
        <v>0.48660635459513968</v>
      </c>
    </row>
    <row r="76" spans="1:9" ht="15" customHeight="1" x14ac:dyDescent="0.4">
      <c r="B76" s="35" t="s">
        <v>96</v>
      </c>
      <c r="C76" s="118">
        <f>C74-C75</f>
        <v>3585462598.8000007</v>
      </c>
      <c r="D76" s="132"/>
      <c r="E76" s="150">
        <f>E74-E75</f>
        <v>3585462598.8000007</v>
      </c>
      <c r="F76" s="132"/>
    </row>
    <row r="77" spans="1:9" ht="15" customHeight="1" x14ac:dyDescent="0.4">
      <c r="B77" s="117" t="s">
        <v>133</v>
      </c>
      <c r="C77" s="95">
        <f>Data!C10-Data!C12</f>
        <v>1191142720.1700001</v>
      </c>
      <c r="D77" s="131">
        <f>C77/$C$74</f>
        <v>0.17055682117844595</v>
      </c>
      <c r="E77" s="148">
        <f>D77*E74</f>
        <v>1191142720.1700001</v>
      </c>
      <c r="F77" s="149">
        <f>E77/$E$74</f>
        <v>0.17055682117844595</v>
      </c>
    </row>
    <row r="78" spans="1:9" ht="15" customHeight="1" x14ac:dyDescent="0.4">
      <c r="B78" s="35" t="s">
        <v>97</v>
      </c>
      <c r="C78" s="118">
        <f>C76-C77</f>
        <v>2394319878.6300006</v>
      </c>
      <c r="D78" s="132"/>
      <c r="E78" s="150">
        <f>E76-E77</f>
        <v>2394319878.6300006</v>
      </c>
      <c r="F78" s="132"/>
    </row>
    <row r="79" spans="1:9" ht="15" customHeight="1" x14ac:dyDescent="0.4">
      <c r="B79" s="117" t="s">
        <v>129</v>
      </c>
      <c r="C79" s="95">
        <f>Data!C17</f>
        <v>15194992.810000001</v>
      </c>
      <c r="D79" s="131">
        <f>C79/$C$74</f>
        <v>2.1757339633768379E-3</v>
      </c>
      <c r="E79" s="148">
        <f>C79</f>
        <v>15194992.810000001</v>
      </c>
      <c r="F79" s="149">
        <f>E79/$E$74</f>
        <v>2.1757339633768379E-3</v>
      </c>
    </row>
    <row r="80" spans="1:9" ht="15" customHeight="1" x14ac:dyDescent="0.4">
      <c r="B80" s="28" t="s">
        <v>135</v>
      </c>
      <c r="C80" s="95">
        <f>Data!C14+MAX(Data!C15,0)</f>
        <v>863038653</v>
      </c>
      <c r="D80" s="131">
        <f>C80/$C$74</f>
        <v>0.12357639997060962</v>
      </c>
      <c r="E80" s="148">
        <f>D80*E74</f>
        <v>863038653</v>
      </c>
      <c r="F80" s="149">
        <f t="shared" ref="F80:F83" si="8">E80/$E$74</f>
        <v>0.12357639997060962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48923904</v>
      </c>
      <c r="D82" s="131">
        <f>C82/$C$74</f>
        <v>7.0052944996285213E-3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1467162328.8200006</v>
      </c>
      <c r="D83" s="133">
        <f>C83/$C$74</f>
        <v>0.21007939579279941</v>
      </c>
      <c r="E83" s="151">
        <f>E78-E79-E80-E81-E82</f>
        <v>1516086232.8200006</v>
      </c>
      <c r="F83" s="135">
        <f t="shared" si="8"/>
        <v>0.21708469029242794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1100371746.6150005</v>
      </c>
      <c r="D85" s="135">
        <f>C85/$C$74</f>
        <v>0.15755954684459955</v>
      </c>
      <c r="E85" s="153">
        <f>E83*(1-F84)</f>
        <v>1137064674.6150005</v>
      </c>
      <c r="F85" s="135">
        <f>E85/$E$74</f>
        <v>0.16281351771932095</v>
      </c>
    </row>
    <row r="86" spans="1:8" ht="15" customHeight="1" x14ac:dyDescent="0.4">
      <c r="B86" s="94" t="s">
        <v>174</v>
      </c>
      <c r="C86" s="159">
        <f>C85*Data!E3/Common_Shares</f>
        <v>0.37603996335445011</v>
      </c>
      <c r="D86" s="130"/>
      <c r="E86" s="161">
        <f>E85*Data!E3/Common_Shares</f>
        <v>0.38857936864446535</v>
      </c>
      <c r="F86" s="130"/>
    </row>
    <row r="87" spans="1:8" ht="15" customHeight="1" x14ac:dyDescent="0.4">
      <c r="B87" s="93" t="s">
        <v>175</v>
      </c>
      <c r="C87" s="162">
        <v>0.16</v>
      </c>
      <c r="D87" s="135">
        <f>C87/C86</f>
        <v>0.4254866918205345</v>
      </c>
      <c r="E87" s="160">
        <f>C87</f>
        <v>0.16</v>
      </c>
      <c r="F87" s="135">
        <f>E87/E86</f>
        <v>0.41175629204954944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3.6519850627800297E-2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5.2830556456121611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10997683042.642656</v>
      </c>
      <c r="D95" s="154">
        <f>PV(C92,D92,0,-F92)*Exchange_Rate</f>
        <v>3.7583374355631829</v>
      </c>
      <c r="E95" s="154">
        <f>PV(15%,D92,0,-F92)*Exchange_Rate</f>
        <v>2.8487283978330082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1316928.4267314593</v>
      </c>
      <c r="D97" s="197">
        <f>C97*Data!$E$3/Common_Shares</f>
        <v>4.5004583119471808E-4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10998999971.069387</v>
      </c>
      <c r="D98" s="124">
        <f>MAX(C98*Data!$E$3/Common_Shares,0)</f>
        <v>3.758787481394378</v>
      </c>
      <c r="E98" s="124">
        <f>E95*Exchange_Rate-D96+D97</f>
        <v>3.0900774356604273</v>
      </c>
      <c r="F98" s="124">
        <f>D98*1.25</f>
        <v>4.6984843517429722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7467436886.1498613</v>
      </c>
      <c r="D101" s="154">
        <f>E87/(C92-2%)*Exchange_Rate</f>
        <v>2.5519145703783219</v>
      </c>
      <c r="E101" s="124">
        <f>D101*(1-25%)</f>
        <v>1.9139359277837413</v>
      </c>
      <c r="F101" s="124">
        <f>D101*1.25</f>
        <v>3.1898932129729025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9233218428.6096249</v>
      </c>
      <c r="D104" s="154">
        <f>(D98+D101)/2</f>
        <v>3.15535102588635</v>
      </c>
      <c r="E104" s="124">
        <f>D104*(1-25%)</f>
        <v>2.3665132694147624</v>
      </c>
      <c r="F104" s="124">
        <f>D104*1.25</f>
        <v>3.9441887823579376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