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665E2E5-AE96-445F-B6DA-1FF9098FAE6D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C87" i="3"/>
  <c r="D10" i="2"/>
  <c r="C10" i="2"/>
  <c r="D8" i="2"/>
  <c r="C8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<sst xmlns="http://schemas.openxmlformats.org/spreadsheetml/2006/main" count="253" uniqueCount="232">
  <si>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</si>
  <si>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</si>
  <si>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</si>
  <si>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</si>
  <si>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</si>
  <si>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</si>
  <si>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</si>
  <si>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</si>
  <si>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</si>
  <si>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</si>
  <si>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</si>
  <si>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</si>
  <si>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</si>
  <si>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</si>
  <si>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</si>
  <si>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</si>
  <si>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</si>
  <si>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</si>
  <si>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</si>
  <si>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</si>
  <si>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</si>
  <si>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</si>
  <si>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</si>
  <si>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</si>
  <si>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</si>
  <si>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</si>
  <si>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</si>
  <si>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</si>
  <si>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</si>
  <si>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</si>
  <si>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</si>
  <si>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</si>
  <si>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</si>
  <si>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</si>
  <si>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</si>
  <si>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</si>
  <si>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</si>
  <si>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</si>
  <si>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</si>
  <si>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</si>
  <si>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</si>
  <si>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</si>
  <si>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</si>
  <si>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</si>
  <si>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</si>
  <si>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</si>
  <si>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</si>
  <si>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</si>
  <si>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</si>
  <si>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</si>
  <si>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</si>
  <si>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</si>
  <si>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</si>
  <si>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</si>
  <si>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</si>
  <si>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</si>
  <si>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</si>
  <si>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</si>
  <si>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</si>
  <si>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</si>
  <si>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</si>
  <si>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</si>
  <si>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</si>
  <si>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</si>
  <si>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</si>
  <si>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</si>
  <si>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</si>
  <si>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</si>
  <si>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</si>
  <si>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</si>
  <si>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</si>
  <si>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</si>
  <si>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</si>
  <si>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</si>
  <si>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</si>
  <si>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</si>
  <si>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</si>
  <si>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</si>
  <si>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</si>
  <si>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</si>
  <si>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</si>
  <si>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</si>
  <si>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</si>
  <si>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</si>
  <si>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</si>
  <si>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</si>
  <si>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</si>
  <si>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</si>
  <si>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</si>
  <si>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</si>
  <si>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</si>
  <si>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</si>
  <si>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</si>
  <si>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</si>
  <si>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</si>
  <si>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</si>
  <si>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</si>
  <si>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</si>
  <si>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</si>
  <si>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</si>
  <si>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</si>
  <si>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</si>
  <si>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</si>
  <si>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</si>
  <si>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</si>
  <si>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</si>
  <si>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</si>
  <si>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</si>
  <si>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</si>
  <si>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</si>
  <si>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</si>
  <si>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</si>
  <si>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</si>
  <si>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</si>
  <si>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</si>
  <si>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</si>
  <si>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</si>
  <si>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</si>
  <si>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</si>
  <si>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</si>
  <si>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</si>
  <si>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</si>
  <si>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</si>
  <si>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</si>
  <si>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</si>
  <si>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</si>
  <si>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</si>
  <si>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</si>
  <si>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</si>
  <si>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</si>
  <si>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</si>
  <si>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</si>
  <si>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</si>
  <si>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</si>
  <si>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</si>
  <si>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</si>
  <si>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</si>
  <si>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</si>
  <si>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</si>
  <si>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</si>
  <si>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</si>
  <si>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</si>
  <si>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</si>
  <si>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</si>
  <si>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</si>
  <si>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</si>
  <si>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</si>
  <si>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</si>
  <si>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</si>
  <si>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</si>
  <si>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</si>
  <si>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</si>
  <si>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</si>
  <si>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</si>
  <si>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</si>
  <si>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</si>
  <si>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</si>
  <si>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</si>
  <si>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</si>
  <si>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</si>
  <si>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</si>
  <si>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</si>
  <si>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</si>
  <si>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</si>
  <si>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</si>
  <si>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</si>
  <si>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</si>
  <si>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</si>
  <si>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</si>
  <si>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</si>
  <si>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</si>
  <si>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</si>
  <si>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</si>
  <si>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</si>
  <si>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</si>
  <si>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</si>
  <si>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</si>
  <si>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</si>
  <si>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</si>
  <si>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</si>
  <si>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</si>
  <si>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</si>
  <si>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</si>
  <si>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</si>
  <si>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</si>
  <si>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</si>
  <si>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</si>
  <si>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</si>
  <si>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</si>
  <si>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</si>
  <si>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</si>
  <si>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</si>
  <si>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</si>
  <si>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</si>
  <si>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</si>
  <si>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</si>
  <si>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</si>
  <si>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</si>
  <si>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</si>
  <si>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</si>
  <si>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</si>
  <si>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</si>
  <si>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</si>
  <si>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</si>
  <si>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</si>
  <si>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</si>
  <si>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</si>
  <si>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</si>
  <si>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</si>
  <si>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</si>
  <si>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</si>
  <si>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</si>
  <si>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</si>
  <si>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</si>
  <si>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</si>
  <si>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</si>
  <si>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</si>
  <si>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</si>
  <si>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</si>
  <si>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</si>
  <si>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</si>
  <si>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</si>
  <si>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</si>
  <si>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</si>
  <si>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</si>
  <si>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</si>
  <si>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</si>
  <si>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</si>
  <si>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0811.HK</t>
  </si>
  <si>
    <t>新华文轩</t>
  </si>
  <si>
    <t>Dividend</t>
  </si>
  <si>
    <t>C0012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</si>
</sst>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15" sqref="E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228</v>
      </c>
      <c r="D3" s="202"/>
      <c r="E3" s="94"/>
      <c r="F3" s="3" t="s">
        <v>1</v>
      </c>
      <c r="G3" s="169">
        <v>9.4300003051757813</v>
      </c>
      <c r="H3" s="171" t="s">
        <v>2</v>
      </c>
    </row>
    <row r="4" spans="1:10" ht="15.75" customHeight="1" x14ac:dyDescent="0.5">
      <c r="B4" s="35" t="s">
        <v>217</v>
      </c>
      <c r="C4" s="203" t="s">
        <v>229</v>
      </c>
      <c r="D4" s="204"/>
      <c r="E4" s="94"/>
      <c r="F4" s="3" t="s">
        <v>3</v>
      </c>
      <c r="G4" s="207">
        <v>1233841000</v>
      </c>
      <c r="H4" s="207"/>
      <c r="I4" s="39"/>
    </row>
    <row r="5" spans="1:10" ht="15.75" customHeight="1" x14ac:dyDescent="0.4">
      <c r="B5" s="3" t="s">
        <v>178</v>
      </c>
      <c r="C5" s="205">
        <v>45604</v>
      </c>
      <c r="D5" s="206"/>
      <c r="E5" s="34"/>
      <c r="F5" s="35" t="s">
        <v>102</v>
      </c>
      <c r="G5" s="199">
        <f>G3*G4/1000000</f>
        <v>11635.121006538391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231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0.6223905170283478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0.25451341065151861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1.5061272402478966E-3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1.6834397167810114E-3</v>
      </c>
      <c r="F23" s="178" t="s">
        <v>209</v>
      </c>
      <c r="G23" s="184">
        <f>G3/(Data!C34*Data!E3/Common_Shares*Exchange_Rate)</f>
        <v>833.95622526749162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9.9490966586642735E-2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0.68204293759534496</v>
      </c>
    </row>
    <row r="26" spans="1:8" ht="15.75" customHeight="1" x14ac:dyDescent="0.4">
      <c r="B26" s="176" t="s">
        <v>191</v>
      </c>
      <c r="C26" s="175">
        <f>Fin_Analysis!F83</f>
        <v>0.11990650536310468</v>
      </c>
      <c r="F26" s="180" t="s">
        <v>215</v>
      </c>
      <c r="G26" s="179">
        <f>Fin_Analysis!E87*Exchange_Rate/G3</f>
        <v>6.7857111114954127E-2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7.0576387337025475</v>
      </c>
      <c r="D29" s="165">
        <f>IF(Fin_Analysis!C106="Profit",Fin_Analysis!F98,IF(Fin_Analysis!C106="Dividend",Fin_Analysis!F101,Fin_Analysis!F104))</f>
        <v>11.76273122283758</v>
      </c>
      <c r="E29" s="94"/>
      <c r="F29" s="167">
        <f>IF(Fin_Analysis!C106="Profit",Fin_Analysis!D98,IF(Fin_Analysis!C106="Dividend",Fin_Analysis!D101,Fin_Analysis!D104))</f>
        <v>9.4101849782700633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45" sqref="D40:D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11868490425.190001</v>
      </c>
      <c r="D6" s="58">
        <v>10930302487.299999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8.5833666449770085E-2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7353177164.4+33658727.68</f>
        <v>7386835892.0799999</v>
      </c>
      <c r="D8" s="92">
        <f>6913161426.93+43002435.74</f>
        <v>6956163862.6700001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4481654533.1100006</v>
      </c>
      <c r="D9" s="101">
        <f t="shared" si="2"/>
        <v>3974138624.6299992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1402613434.32+1618076543.08</f>
        <v>3020689977.3999996</v>
      </c>
      <c r="D10" s="92">
        <f>1211489002.19+1401957853.09</f>
        <v>2613446855.2799997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1460964555.710001</v>
      </c>
      <c r="D13" s="101">
        <f t="shared" ref="D13:M13" si="4">IF(D6="","",(D9-D10+D12))</f>
        <v>1360691769.3499994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19979888.16</v>
      </c>
      <c r="D14" s="92">
        <v>14166706.34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17875456.73</v>
      </c>
      <c r="D17" s="92">
        <v>20978186.489999998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49204300.670000002</v>
      </c>
      <c r="D18" s="92">
        <v>-5437935.0599999996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1357503476.5933342</v>
      </c>
      <c r="D19" s="95">
        <f>IF(D6="","",D13-D14-MAX(D15,0)-MAX(D16,0)-D17-MAX(D18/(1-Fin_Analysis!$F$84),0))</f>
        <v>1325546876.5199995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2.4108238372701971E-2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8.5784086347165056E-2</v>
      </c>
      <c r="D21" s="56">
        <f t="shared" si="6"/>
        <v>9.0954496322962861E-2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1018127607.4450006</v>
      </c>
      <c r="D22" s="95">
        <f>IF(D6="","",D19*(1-Fin_Analysis!$F$84))</f>
        <v>994160157.38999963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2.4108238372701971E-2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97.450960511775548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0.6223905170283478</v>
      </c>
      <c r="D40" s="61">
        <f t="shared" si="21"/>
        <v>0.63641092007768485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0.25451341065151861</v>
      </c>
      <c r="D41" s="56">
        <f t="shared" si="22"/>
        <v>0.23910105491742642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1.6834397167810114E-3</v>
      </c>
      <c r="D42" s="56">
        <f t="shared" si="23"/>
        <v>1.2960946283472395E-3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1.5061272402478966E-3</v>
      </c>
      <c r="D44" s="56">
        <f t="shared" si="25"/>
        <v>1.9192686125909793E-3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5.5277235668845723E-3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0.11437878179622006</v>
      </c>
      <c r="D46" s="56">
        <f t="shared" si="26"/>
        <v>0.12127266176395049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2.2393159574524852E-5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8.1495250478286153E-4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1400.7632479807228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1.316789020302077E-2</v>
      </c>
      <c r="D53" s="56">
        <f t="shared" si="31"/>
        <v>1.5826061576241422E-2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1" zoomScaleNormal="100" workbookViewId="0">
      <selection activeCell="E92" sqref="E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4048308.8135904786</v>
      </c>
      <c r="E6" s="56">
        <f>1-D6/D3</f>
        <v>0.68529688173907477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3.5585207128688559E-3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11868490425.190001</v>
      </c>
      <c r="D74" s="130"/>
      <c r="E74" s="148">
        <f>C74</f>
        <v>11868490425.190001</v>
      </c>
      <c r="F74" s="130"/>
    </row>
    <row r="75" spans="1:9" ht="15" customHeight="1" x14ac:dyDescent="0.4">
      <c r="B75" s="117" t="s">
        <v>109</v>
      </c>
      <c r="C75" s="95">
        <f>Data!C8</f>
        <v>7386835892.0799999</v>
      </c>
      <c r="D75" s="131">
        <f>C75/$C$74</f>
        <v>0.6223905170283478</v>
      </c>
      <c r="E75" s="148">
        <f>D75*E74</f>
        <v>7386835892.0799999</v>
      </c>
      <c r="F75" s="149">
        <f>E75/$E$74</f>
        <v>0.6223905170283478</v>
      </c>
    </row>
    <row r="76" spans="1:9" ht="15" customHeight="1" x14ac:dyDescent="0.4">
      <c r="B76" s="35" t="s">
        <v>96</v>
      </c>
      <c r="C76" s="118">
        <f>C74-C75</f>
        <v>4481654533.1100006</v>
      </c>
      <c r="D76" s="132"/>
      <c r="E76" s="150">
        <f>E74-E75</f>
        <v>4481654533.1100006</v>
      </c>
      <c r="F76" s="132"/>
    </row>
    <row r="77" spans="1:9" ht="15" customHeight="1" x14ac:dyDescent="0.4">
      <c r="B77" s="117" t="s">
        <v>133</v>
      </c>
      <c r="C77" s="95">
        <f>Data!C10-Data!C12</f>
        <v>3020689977.3999996</v>
      </c>
      <c r="D77" s="131">
        <f>C77/$C$74</f>
        <v>0.25451341065151861</v>
      </c>
      <c r="E77" s="148">
        <f>D77*E74</f>
        <v>3020689977.3999991</v>
      </c>
      <c r="F77" s="149">
        <f>E77/$E$74</f>
        <v>0.25451341065151861</v>
      </c>
    </row>
    <row r="78" spans="1:9" ht="15" customHeight="1" x14ac:dyDescent="0.4">
      <c r="B78" s="35" t="s">
        <v>97</v>
      </c>
      <c r="C78" s="118">
        <f>C76-C77</f>
        <v>1460964555.710001</v>
      </c>
      <c r="D78" s="132"/>
      <c r="E78" s="150">
        <f>E76-E77</f>
        <v>1460964555.7100015</v>
      </c>
      <c r="F78" s="132"/>
    </row>
    <row r="79" spans="1:9" ht="15" customHeight="1" x14ac:dyDescent="0.4">
      <c r="B79" s="117" t="s">
        <v>129</v>
      </c>
      <c r="C79" s="95">
        <f>Data!C17</f>
        <v>17875456.73</v>
      </c>
      <c r="D79" s="131">
        <f>C79/$C$74</f>
        <v>1.5061272402478966E-3</v>
      </c>
      <c r="E79" s="148">
        <f>C79</f>
        <v>17875456.73</v>
      </c>
      <c r="F79" s="149">
        <f>E79/$E$74</f>
        <v>1.5061272402478966E-3</v>
      </c>
    </row>
    <row r="80" spans="1:9" ht="15" customHeight="1" x14ac:dyDescent="0.4">
      <c r="B80" s="28" t="s">
        <v>135</v>
      </c>
      <c r="C80" s="95">
        <f>Data!C14+MAX(Data!C15,0)</f>
        <v>19979888.16</v>
      </c>
      <c r="D80" s="131">
        <f>C80/$C$74</f>
        <v>1.6834397167810114E-3</v>
      </c>
      <c r="E80" s="148">
        <f>D80*E74</f>
        <v>19979888.16</v>
      </c>
      <c r="F80" s="149">
        <f t="shared" ref="F80:F83" si="8">E80/$E$74</f>
        <v>1.6834397167810114E-3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49204300.670000002</v>
      </c>
      <c r="D82" s="131">
        <f>C82/$C$74</f>
        <v>4.1457926751634292E-3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1373904910.1500008</v>
      </c>
      <c r="D83" s="133">
        <f>C83/$C$74</f>
        <v>0.11576071268794121</v>
      </c>
      <c r="E83" s="151">
        <f>E78-E79-E80-E81-E82</f>
        <v>1423109210.8200014</v>
      </c>
      <c r="F83" s="135">
        <f t="shared" si="8"/>
        <v>0.11990650536310468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1030428682.6125007</v>
      </c>
      <c r="D85" s="135">
        <f>C85/$C$74</f>
        <v>8.6820534515955908E-2</v>
      </c>
      <c r="E85" s="153">
        <f>E83*(1-F84)</f>
        <v>1067331908.115001</v>
      </c>
      <c r="F85" s="135">
        <f>E85/$E$74</f>
        <v>8.9929879022328504E-2</v>
      </c>
    </row>
    <row r="86" spans="1:8" ht="15" customHeight="1" x14ac:dyDescent="0.4">
      <c r="B86" s="94" t="s">
        <v>174</v>
      </c>
      <c r="C86" s="159">
        <f>C85*Data!E3/Common_Shares</f>
        <v>0.83513895438107555</v>
      </c>
      <c r="D86" s="130"/>
      <c r="E86" s="161">
        <f>E85*Data!E3/Common_Shares</f>
        <v>0.86504817728945704</v>
      </c>
      <c r="F86" s="130"/>
    </row>
    <row r="87" spans="1:8" ht="15" customHeight="1" x14ac:dyDescent="0.4">
      <c r="B87" s="93" t="s">
        <v>175</v>
      </c>
      <c r="C87" s="162">
        <f>0.4+0.19</f>
        <v>0.59000000000000008</v>
      </c>
      <c r="D87" s="135">
        <f>C87/C86</f>
        <v>0.70646926107913521</v>
      </c>
      <c r="E87" s="160">
        <f>C87</f>
        <v>0.59000000000000008</v>
      </c>
      <c r="F87" s="135">
        <f>E87/E86</f>
        <v>0.68204293759534496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9.9490966586642735E-2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15.794866188316846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13863910093.353189</v>
      </c>
      <c r="D95" s="154">
        <f>PV(C92,D92,0,-F92)*Exchange_Rate</f>
        <v>11.236383045589497</v>
      </c>
      <c r="E95" s="154">
        <f>PV(15%,D92,0,-F92)*Exchange_Rate</f>
        <v>8.5169051527975874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1316928.4267314593</v>
      </c>
      <c r="D97" s="197">
        <f>C97*Data!$E$3/Common_Shares</f>
        <v>1.0673404650448958E-3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13865227021.779921</v>
      </c>
      <c r="D98" s="124">
        <f>MAX(C98*Data!$E$3/Common_Shares,0)</f>
        <v>11.23745038605454</v>
      </c>
      <c r="E98" s="124">
        <f>E95*Exchange_Rate-D96+D97</f>
        <v>9.2381934408956532</v>
      </c>
      <c r="F98" s="124">
        <f>D98*1.25</f>
        <v>14.046812982568175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11610672043.773714</v>
      </c>
      <c r="D101" s="154">
        <f>E87/(C92-2%)*Exchange_Rate</f>
        <v>9.4101849782700633</v>
      </c>
      <c r="E101" s="124">
        <f>D101*(1-25%)</f>
        <v>7.0576387337025475</v>
      </c>
      <c r="F101" s="124">
        <f>D101*1.25</f>
        <v>11.76273122283758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12737949532.776817</v>
      </c>
      <c r="D104" s="154">
        <f>(D98+D101)/2</f>
        <v>10.323817682162302</v>
      </c>
      <c r="E104" s="124">
        <f>D104*(1-25%)</f>
        <v>7.7428632616217268</v>
      </c>
      <c r="F104" s="124">
        <f>D104*1.25</f>
        <v>12.904772102702877</v>
      </c>
    </row>
    <row r="106" spans="2:8" ht="15" customHeight="1" x14ac:dyDescent="0.4">
      <c r="B106" s="10" t="s">
        <v>180</v>
      </c>
      <c r="C106" s="164" t="s">
        <v>230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