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3117B1-25D8-428D-AEDB-6004A3C16E5D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2" i="3"/>
  <c r="C38" i="3"/>
  <c r="I14" i="3"/>
  <c r="I11" i="3"/>
  <c r="C16" i="3"/>
  <c r="C14" i="3"/>
  <c r="C12" i="3"/>
  <c r="C11" i="3"/>
  <c r="D36" i="2"/>
  <c r="D10" i="2"/>
  <c r="D8" i="2"/>
  <c r="C8" i="2"/>
  <c r="D6" i="2"/>
  <c r="C6" i="2"/>
  <c r="C103" i="3" l="1"/>
  <c r="C92" i="3" l="1"/>
  <c r="D101" i="3" s="1"/>
  <c r="B92" i="3" l="1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<sst xmlns="http://schemas.openxmlformats.org/spreadsheetml/2006/main" count="253" uniqueCount="232">
  <si>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</si>
  <si>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</si>
  <si>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</si>
  <si>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</si>
  <si>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</si>
  <si>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</si>
  <si>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</si>
  <si>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</si>
  <si>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</si>
  <si>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</si>
  <si>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</si>
  <si>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</si>
  <si>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</si>
  <si>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</si>
  <si>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</si>
  <si>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</si>
  <si>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</si>
  <si>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</si>
  <si>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</si>
  <si>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</si>
  <si>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</si>
  <si>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</si>
  <si>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</si>
  <si>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</si>
  <si>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</si>
  <si>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</si>
  <si>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</si>
  <si>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</si>
  <si>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</si>
  <si>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</si>
  <si>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</si>
  <si>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</si>
  <si>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</si>
  <si>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</si>
  <si>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</si>
  <si>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</si>
  <si>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</si>
  <si>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</si>
  <si>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</si>
  <si>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</si>
  <si>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</si>
  <si>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</si>
  <si>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</si>
  <si>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</si>
  <si>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</si>
  <si>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</si>
  <si>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</si>
  <si>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</si>
  <si>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</si>
  <si>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</si>
  <si>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</si>
  <si>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</si>
  <si>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</si>
  <si>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</si>
  <si>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</si>
  <si>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</si>
  <si>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</si>
  <si>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</si>
  <si>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</si>
  <si>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</si>
  <si>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</si>
  <si>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</si>
  <si>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</si>
  <si>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</si>
  <si>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</si>
  <si>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</si>
  <si>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</si>
  <si>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</si>
  <si>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</si>
  <si>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</si>
  <si>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</si>
  <si>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</si>
  <si>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</si>
  <si>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</si>
  <si>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</si>
  <si>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</si>
  <si>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</si>
  <si>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</si>
  <si>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</si>
  <si>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</si>
  <si>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</si>
  <si>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</si>
  <si>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</si>
  <si>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</si>
  <si>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</si>
  <si>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</si>
  <si>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</si>
  <si>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</si>
  <si>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</si>
  <si>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</si>
  <si>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</si>
  <si>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</si>
  <si>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</si>
  <si>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</si>
  <si>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</si>
  <si>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</si>
  <si>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</si>
  <si>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</si>
  <si>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</si>
  <si>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</si>
  <si>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</si>
  <si>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</si>
  <si>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</si>
  <si>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</si>
  <si>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</si>
  <si>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</si>
  <si>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</si>
  <si>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</si>
  <si>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</si>
  <si>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</si>
  <si>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</si>
  <si>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</si>
  <si>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</si>
  <si>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</si>
  <si>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</si>
  <si>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</si>
  <si>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</si>
  <si>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</si>
  <si>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</si>
  <si>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</si>
  <si>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</si>
  <si>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</si>
  <si>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</si>
  <si>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</si>
  <si>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</si>
  <si>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</si>
  <si>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</si>
  <si>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</si>
  <si>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</si>
  <si>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</si>
  <si>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</si>
  <si>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</si>
  <si>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</si>
  <si>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</si>
  <si>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</si>
  <si>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</si>
  <si>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</si>
  <si>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</si>
  <si>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</si>
  <si>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</si>
  <si>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</si>
  <si>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</si>
  <si>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</si>
  <si>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</si>
  <si>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</si>
  <si>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</si>
  <si>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</si>
  <si>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</si>
  <si>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</si>
  <si>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</si>
  <si>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</si>
  <si>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</si>
  <si>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</si>
  <si>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</si>
  <si>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</si>
  <si>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</si>
  <si>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</si>
  <si>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</si>
  <si>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</si>
  <si>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</si>
  <si>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</si>
  <si>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</si>
  <si>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</si>
  <si>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</si>
  <si>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</si>
  <si>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</si>
  <si>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</si>
  <si>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</si>
  <si>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</si>
  <si>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</si>
  <si>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</si>
  <si>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</si>
  <si>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</si>
  <si>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</si>
  <si>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</si>
  <si>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</si>
  <si>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</si>
  <si>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</si>
  <si>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</si>
  <si>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</si>
  <si>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</si>
  <si>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</si>
  <si>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</si>
  <si>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</si>
  <si>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</si>
  <si>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</si>
  <si>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</si>
  <si>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</si>
  <si>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</si>
  <si>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</si>
  <si>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</si>
  <si>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</si>
  <si>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</si>
  <si>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</si>
  <si>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</si>
  <si>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</si>
  <si>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</si>
  <si>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</si>
  <si>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</si>
  <si>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</si>
  <si>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</si>
  <si>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</si>
  <si>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</si>
  <si>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</si>
  <si>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</si>
  <si>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</si>
  <si>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</si>
  <si>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</si>
  <si>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</si>
  <si>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</si>
  <si>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</si>
  <si>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</si>
  <si>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</si>
  <si>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</si>
  <si>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</si>
  <si>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</si>
  <si>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</si>
  <si>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</si>
  <si>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</si>
  <si>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</si>
  <si>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</si>
  <si>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</si>
  <si>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</si>
  <si>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</si>
  <si>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</si>
  <si>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</si>
  <si>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</si>
  <si>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</si>
  <si>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建设银行</t>
    <phoneticPr fontId="20" type="noConversion"/>
  </si>
  <si>
    <t>0939.HK</t>
    <phoneticPr fontId="20" type="noConversion"/>
  </si>
  <si>
    <t>C0014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</si>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</sst>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5" zoomScaleNormal="100" workbookViewId="0">
      <selection activeCell="F19" sqref="F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229</v>
      </c>
      <c r="D3" s="202"/>
      <c r="E3" s="94"/>
      <c r="F3" s="3" t="s">
        <v>1</v>
      </c>
      <c r="G3" s="169">
        <v>6.1999998092651367</v>
      </c>
      <c r="H3" s="171" t="s">
        <v>2</v>
      </c>
    </row>
    <row r="4" spans="1:10" ht="15.75" customHeight="1" x14ac:dyDescent="0.5">
      <c r="B4" s="35" t="s">
        <v>217</v>
      </c>
      <c r="C4" s="203" t="s">
        <v>228</v>
      </c>
      <c r="D4" s="204"/>
      <c r="E4" s="94"/>
      <c r="F4" s="3" t="s">
        <v>3</v>
      </c>
      <c r="G4" s="207">
        <v>250010977486</v>
      </c>
      <c r="H4" s="207"/>
      <c r="I4" s="39"/>
    </row>
    <row r="5" spans="1:10" ht="15.75" customHeight="1" x14ac:dyDescent="0.4">
      <c r="B5" s="3" t="s">
        <v>178</v>
      </c>
      <c r="C5" s="205">
        <v>45605</v>
      </c>
      <c r="D5" s="206"/>
      <c r="E5" s="34"/>
      <c r="F5" s="35" t="s">
        <v>102</v>
      </c>
      <c r="G5" s="199">
        <f>G3*G4/1000000</f>
        <v>1550068.0127273903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230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0.47700776116848903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0.15697168260849415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0.51371233089003276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0.24730490990678156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0.28293758220264942</v>
      </c>
    </row>
    <row r="26" spans="1:8" ht="15.75" customHeight="1" x14ac:dyDescent="0.4">
      <c r="B26" s="176" t="s">
        <v>191</v>
      </c>
      <c r="C26" s="175">
        <f>Fin_Analysis!F83</f>
        <v>0.33602055622301685</v>
      </c>
      <c r="F26" s="180" t="s">
        <v>215</v>
      </c>
      <c r="G26" s="179">
        <f>Fin_Analysis!E87*Exchange_Rate/G3</f>
        <v>6.9971853275868814E-2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4.7848398194593535</v>
      </c>
      <c r="D29" s="165">
        <f>IF(Fin_Analysis!C106="Profit",Fin_Analysis!F98,IF(Fin_Analysis!C106="Dividend",Fin_Analysis!F101,Fin_Analysis!F104))</f>
        <v>7.9747330324322565</v>
      </c>
      <c r="E29" s="94"/>
      <c r="F29" s="167">
        <f>IF(Fin_Analysis!C106="Profit",Fin_Analysis!D98,IF(Fin_Analysis!C106="Dividend",Fin_Analysis!D101,Fin_Analysis!D104))</f>
        <v>6.379786425945805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2" zoomScaleNormal="100" workbookViewId="0">
      <pane xSplit="2" topLeftCell="C1" activePane="topRight" state="frozen"/>
      <selection activeCell="A4" sqref="A4"/>
      <selection pane="topRight" activeCell="D34" sqref="D34: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f>1247366+129906+25223</f>
        <v>1402495</v>
      </c>
      <c r="D6" s="58">
        <f>1170573+130830+22800</f>
        <v>1324203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5.9123865449632662E-2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630133+14160+24708</f>
        <v>669001</v>
      </c>
      <c r="D8" s="92">
        <f>526904+14745+26071</f>
        <v>567720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733494</v>
      </c>
      <c r="D9" s="101">
        <f t="shared" si="2"/>
        <v>756483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220152</v>
      </c>
      <c r="D10" s="92">
        <f>219991</f>
        <v>219991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513342</v>
      </c>
      <c r="D13" s="101">
        <f t="shared" ref="D13:M13" si="4">IF(D6="","",(D9-D10+D12))</f>
        <v>536492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-193</v>
      </c>
      <c r="D18" s="92">
        <v>136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513342</v>
      </c>
      <c r="D19" s="95">
        <f>IF(D6="","",D13-D14-MAX(D15,0)-MAX(D16,0)-D17-MAX(D18/(1-Fin_Analysis!$F$84),0))</f>
        <v>536310.66666666663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-4.282716733833368E-2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0.27451541716726263</v>
      </c>
      <c r="D21" s="56">
        <f t="shared" si="6"/>
        <v>0.30375478684159452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385006.5</v>
      </c>
      <c r="D22" s="95">
        <f>IF(D6="","",D19*(1-Fin_Analysis!$F$84))</f>
        <v>402233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-4.2827167338333749E-2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40294387</v>
      </c>
      <c r="D25" s="41">
        <f t="shared" si="17"/>
        <v>14928506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39536552</v>
      </c>
      <c r="D26" s="92">
        <v>11972903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0</v>
      </c>
      <c r="D27" s="92">
        <v>213823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0</v>
      </c>
      <c r="D28" s="92">
        <v>8852611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37038911</v>
      </c>
      <c r="D29" s="92">
        <v>2466431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>
        <v>241133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36209311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36528731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2782119</v>
      </c>
      <c r="D34" s="92">
        <v>12220942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-452542</v>
      </c>
      <c r="D35" s="92">
        <v>-498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13367926</v>
      </c>
      <c r="D36" s="92">
        <f>2347651+1127727</f>
        <v>3475378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26926461</v>
      </c>
      <c r="D37" s="41">
        <f t="shared" ref="D37:M37" si="19">IF(D6="","",D25-D36)</f>
        <v>11453128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1.9064592261121876E-2</v>
      </c>
      <c r="D38" s="104">
        <f t="shared" ref="D38:M38" si="20">IF(D6="","",D19/D37)</f>
        <v>4.6826567088629992E-2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0.47700776116848903</v>
      </c>
      <c r="D40" s="61">
        <f t="shared" si="21"/>
        <v>0.42872580714588321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0.15697168260849415</v>
      </c>
      <c r="D41" s="56">
        <f t="shared" si="22"/>
        <v>0.16613087268341786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</v>
      </c>
      <c r="D44" s="56">
        <f t="shared" si="25"/>
        <v>0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1.3693771523953151E-4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0.36602055622301682</v>
      </c>
      <c r="D46" s="56">
        <f t="shared" si="26"/>
        <v>0.40500638245545934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</v>
      </c>
      <c r="D48" s="61">
        <f t="shared" si="27"/>
        <v>0.16147297657534382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0</v>
      </c>
      <c r="D49" s="56">
        <f t="shared" si="28"/>
        <v>6.6852370822298397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0.9309551724908981</v>
      </c>
      <c r="D51" s="61">
        <f t="shared" ref="D51:M51" si="29">IF(D34="","",(D25-D34)/D25)</f>
        <v>0.1813687183432823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1.4053102474323568E-2</v>
      </c>
      <c r="D52" s="60">
        <f t="shared" si="30"/>
        <v>5.2102382756588357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>-</v>
      </c>
      <c r="D53" s="56" t="str">
        <f t="shared" si="31"/>
        <v>-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1.0674328950978067</v>
      </c>
      <c r="D54" s="62">
        <f t="shared" si="32"/>
        <v>4.8543433811852026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8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7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E102" sqref="E102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2782119</v>
      </c>
      <c r="E3" s="73" t="str">
        <f>IF((C49-I49)=D3,"", "Error!")</f>
        <v/>
      </c>
      <c r="F3" s="94"/>
      <c r="G3" s="94"/>
      <c r="H3" s="47" t="s">
        <v>24</v>
      </c>
      <c r="I3" s="59">
        <v>3234661</v>
      </c>
      <c r="K3" s="24"/>
    </row>
    <row r="4" spans="1:11" ht="15" customHeight="1" x14ac:dyDescent="0.4">
      <c r="B4" s="3" t="s">
        <v>25</v>
      </c>
      <c r="C4" s="94"/>
      <c r="D4" s="69">
        <f>D3-I3</f>
        <v>-452542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1.0674328950978067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-20995353.739678942</v>
      </c>
      <c r="E6" s="56">
        <f>1-D6/D3</f>
        <v>8.5465333221472335</v>
      </c>
      <c r="F6" s="94"/>
      <c r="G6" s="94"/>
      <c r="H6" s="1" t="s">
        <v>30</v>
      </c>
      <c r="I6" s="67">
        <f>(C24+C25)/I28</f>
        <v>1.0674328950978067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0.1885966085773958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f>3193580+146128</f>
        <v>3339708</v>
      </c>
      <c r="D11" s="64">
        <v>1</v>
      </c>
      <c r="E11" s="95">
        <f t="shared" ref="E11:E21" si="0">C11*D11</f>
        <v>3339708</v>
      </c>
      <c r="F11" s="127"/>
      <c r="G11" s="94"/>
      <c r="H11" s="3" t="s">
        <v>39</v>
      </c>
      <c r="I11" s="63">
        <f>1102834+3420846+480090+28707067</f>
        <v>33710837</v>
      </c>
      <c r="J11" s="94"/>
      <c r="K11" s="24"/>
    </row>
    <row r="12" spans="1:11" ht="13.9" x14ac:dyDescent="0.4">
      <c r="B12" s="1" t="s">
        <v>148</v>
      </c>
      <c r="C12" s="63">
        <f>683021</f>
        <v>683021</v>
      </c>
      <c r="D12" s="64">
        <v>0.95</v>
      </c>
      <c r="E12" s="95">
        <f t="shared" si="0"/>
        <v>648869.94999999995</v>
      </c>
      <c r="F12" s="127"/>
      <c r="G12" s="94"/>
      <c r="H12" s="3" t="s">
        <v>40</v>
      </c>
      <c r="I12" s="63"/>
      <c r="J12" s="94"/>
      <c r="K12" s="24"/>
    </row>
    <row r="13" spans="1:11" ht="13.9" x14ac:dyDescent="0.4">
      <c r="B13" s="3" t="s">
        <v>121</v>
      </c>
      <c r="C13" s="63"/>
      <c r="D13" s="64">
        <v>0.8</v>
      </c>
      <c r="E13" s="95">
        <f t="shared" si="0"/>
        <v>0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f>587590+2375094</f>
        <v>2962684</v>
      </c>
      <c r="D14" s="64">
        <v>0.3</v>
      </c>
      <c r="E14" s="95">
        <f>C14*D14</f>
        <v>888805.2</v>
      </c>
      <c r="F14" s="127"/>
      <c r="G14" s="94"/>
      <c r="H14" s="93" t="s">
        <v>43</v>
      </c>
      <c r="I14" s="144">
        <f>224097+67253+2207124</f>
        <v>2498474</v>
      </c>
      <c r="J14" s="94"/>
      <c r="K14" s="27"/>
    </row>
    <row r="15" spans="1:11" ht="13.9" x14ac:dyDescent="0.4">
      <c r="B15" s="3" t="s">
        <v>44</v>
      </c>
      <c r="C15" s="63">
        <v>6961515</v>
      </c>
      <c r="D15" s="64">
        <v>0.05</v>
      </c>
      <c r="E15" s="95">
        <f>C15*D15</f>
        <v>348075.75</v>
      </c>
      <c r="F15" s="127"/>
      <c r="G15" s="94"/>
      <c r="H15" s="1" t="s">
        <v>54</v>
      </c>
      <c r="I15" s="91">
        <f>SUM(I11:I14)</f>
        <v>36209311</v>
      </c>
      <c r="J15" s="94"/>
    </row>
    <row r="16" spans="1:11" ht="13.9" x14ac:dyDescent="0.4">
      <c r="B16" s="1" t="s">
        <v>172</v>
      </c>
      <c r="C16" s="63">
        <f>70711+889728+24629185</f>
        <v>25589624</v>
      </c>
      <c r="D16" s="64">
        <v>0.5</v>
      </c>
      <c r="E16" s="95">
        <f t="shared" si="0"/>
        <v>12794812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/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829600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6985413</v>
      </c>
      <c r="D24" s="66">
        <f>IF(E24=0,0,E24/C24)</f>
        <v>0.69822402054109045</v>
      </c>
      <c r="E24" s="95">
        <f>SUM(E11:E14)</f>
        <v>4877383.1500000004</v>
      </c>
      <c r="F24" s="129">
        <f>E24/$E$28</f>
        <v>0.27066092275005704</v>
      </c>
      <c r="G24" s="94"/>
    </row>
    <row r="25" spans="2:10" ht="15" customHeight="1" x14ac:dyDescent="0.4">
      <c r="B25" s="23" t="s">
        <v>55</v>
      </c>
      <c r="C25" s="65">
        <f>SUM(C15:C17)</f>
        <v>32551139</v>
      </c>
      <c r="D25" s="66">
        <f>IF(E25=0,0,E25/C25)</f>
        <v>0.40376122476082943</v>
      </c>
      <c r="E25" s="95">
        <f>SUM(E15:E17)</f>
        <v>13142887.75</v>
      </c>
      <c r="F25" s="129">
        <f t="shared" ref="F25:F27" si="2">E25/$E$28</f>
        <v>0.72933907724994307</v>
      </c>
      <c r="G25" s="94"/>
      <c r="H25" s="23" t="s">
        <v>56</v>
      </c>
      <c r="I25" s="67">
        <f>E28/I28</f>
        <v>0.48652269771106388</v>
      </c>
    </row>
    <row r="26" spans="2:10" ht="15" customHeight="1" x14ac:dyDescent="0.4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0.13469969505909682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0.48652269771106388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39536552</v>
      </c>
      <c r="D28" s="61">
        <f t="shared" ref="D28" si="4">E28/C28</f>
        <v>0.4557876190113897</v>
      </c>
      <c r="E28" s="76">
        <f>SUM(E24:E27)</f>
        <v>18020270.899999999</v>
      </c>
      <c r="F28" s="127"/>
      <c r="G28" s="94"/>
      <c r="H28" s="85" t="s">
        <v>16</v>
      </c>
      <c r="I28" s="72">
        <v>37038911</v>
      </c>
      <c r="J28" s="32">
        <f>IF(J26="",1,0)+IF(J27="",1,0)+IF(J46="",1,0)+IF(J47="",1,0)</f>
        <v>0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82672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>
        <v>21347</v>
      </c>
      <c r="D35" s="64">
        <v>0.1</v>
      </c>
      <c r="E35" s="95">
        <f t="shared" si="5"/>
        <v>2134.7000000000003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4094</v>
      </c>
      <c r="D37" s="64">
        <v>0.05</v>
      </c>
      <c r="E37" s="95">
        <f>C37*D37</f>
        <v>204.70000000000002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f>169099+12636</f>
        <v>181735</v>
      </c>
      <c r="D38" s="64">
        <v>0.1</v>
      </c>
      <c r="E38" s="95">
        <f>C38*D38</f>
        <v>18173.5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5722</v>
      </c>
      <c r="D40" s="64">
        <v>0.05</v>
      </c>
      <c r="E40" s="95">
        <f t="shared" si="5"/>
        <v>286.10000000000002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118797</v>
      </c>
      <c r="D41" s="64">
        <v>0.95</v>
      </c>
      <c r="E41" s="95">
        <f t="shared" si="5"/>
        <v>112857.15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f>2471+340997</f>
        <v>343468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82672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21347</v>
      </c>
      <c r="D45" s="66">
        <f>IF(E45=0,0,E45/C45)</f>
        <v>0.10000000000000002</v>
      </c>
      <c r="E45" s="95">
        <f>SUM(E32:E35)</f>
        <v>2134.7000000000003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185829</v>
      </c>
      <c r="D46" s="66">
        <f t="shared" ref="D46:D47" si="6">IF(E46=0,0,E46/C46)</f>
        <v>9.8898449649946998E-2</v>
      </c>
      <c r="E46" s="95">
        <f>E36+E37+E38+E39</f>
        <v>18378.2</v>
      </c>
      <c r="F46" s="94"/>
      <c r="G46" s="94"/>
      <c r="H46" s="23" t="s">
        <v>81</v>
      </c>
      <c r="I46" s="67">
        <f>(E44+E24)/E64</f>
        <v>0.13352183381349875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5">
        <f>C40+C41+C42</f>
        <v>467987</v>
      </c>
      <c r="D47" s="66">
        <f t="shared" si="6"/>
        <v>0.24176579691316211</v>
      </c>
      <c r="E47" s="95">
        <f>E40+E41+E42</f>
        <v>113143.25</v>
      </c>
      <c r="F47" s="94"/>
      <c r="G47" s="94"/>
      <c r="H47" s="23" t="s">
        <v>83</v>
      </c>
      <c r="I47" s="67">
        <f>(E44+E45+E24+E25)/$I$49</f>
        <v>0.48044030822129979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7" t="s">
        <v>84</v>
      </c>
      <c r="C48" s="88">
        <f>SUM(C30:C42)</f>
        <v>757835</v>
      </c>
      <c r="D48" s="89">
        <f>E48/C48</f>
        <v>0.1763657656349997</v>
      </c>
      <c r="E48" s="83">
        <f>SUM(E30:E42)</f>
        <v>133656.15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40294387</v>
      </c>
      <c r="D49" s="56">
        <f>E49/C49</f>
        <v>0.45053240417827917</v>
      </c>
      <c r="E49" s="95">
        <f>E28+E48</f>
        <v>18153927.049999997</v>
      </c>
      <c r="F49" s="94"/>
      <c r="G49" s="94"/>
      <c r="H49" s="3" t="s">
        <v>86</v>
      </c>
      <c r="I49" s="52">
        <f>I28+I48</f>
        <v>37512268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36528731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9945546</v>
      </c>
      <c r="D61" s="56">
        <f t="shared" ref="D61:D70" si="7">IF(E61=0,0,E61/C61)</f>
        <v>0.12457995267429259</v>
      </c>
      <c r="E61" s="52">
        <f>E14+E15+(E19*G19)+(E20*G20)+E31+E32+(E35*G35)+(E36*G36)+(E37*G37)</f>
        <v>1239015.6499999999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3422380</v>
      </c>
      <c r="D62" s="122">
        <f t="shared" si="7"/>
        <v>0.97584371110163104</v>
      </c>
      <c r="E62" s="142">
        <f>E11+E30</f>
        <v>3339708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13367926</v>
      </c>
      <c r="D63" s="29">
        <f t="shared" si="7"/>
        <v>0.34251563406320473</v>
      </c>
      <c r="E63" s="65">
        <f>E61+E62</f>
        <v>4578723.6500000004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36528731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-23160805</v>
      </c>
      <c r="D65" s="29">
        <f t="shared" si="7"/>
        <v>1.3794860476568065</v>
      </c>
      <c r="E65" s="65">
        <f>E63-E64</f>
        <v>-31950007.350000001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26926461</v>
      </c>
      <c r="D68" s="29">
        <f t="shared" si="7"/>
        <v>0.50415847073256292</v>
      </c>
      <c r="E68" s="74">
        <f>E49-E63</f>
        <v>13575203.399999997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983537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25942924</v>
      </c>
      <c r="D70" s="29">
        <f t="shared" si="7"/>
        <v>0.48536033948987389</v>
      </c>
      <c r="E70" s="74">
        <f>E68-E69</f>
        <v>12591666.399999997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1402495</v>
      </c>
      <c r="D74" s="130"/>
      <c r="E74" s="148">
        <f>C74</f>
        <v>1402495</v>
      </c>
      <c r="F74" s="130"/>
    </row>
    <row r="75" spans="1:9" ht="15" customHeight="1" x14ac:dyDescent="0.4">
      <c r="B75" s="117" t="s">
        <v>109</v>
      </c>
      <c r="C75" s="95">
        <f>Data!C8</f>
        <v>669001</v>
      </c>
      <c r="D75" s="131">
        <f>C75/$C$74</f>
        <v>0.47700776116848903</v>
      </c>
      <c r="E75" s="148">
        <f>D75*E74</f>
        <v>669001</v>
      </c>
      <c r="F75" s="149">
        <f>E75/$E$74</f>
        <v>0.47700776116848903</v>
      </c>
    </row>
    <row r="76" spans="1:9" ht="15" customHeight="1" x14ac:dyDescent="0.4">
      <c r="B76" s="35" t="s">
        <v>96</v>
      </c>
      <c r="C76" s="118">
        <f>C74-C75</f>
        <v>733494</v>
      </c>
      <c r="D76" s="132"/>
      <c r="E76" s="150">
        <f>E74-E75</f>
        <v>733494</v>
      </c>
      <c r="F76" s="132"/>
    </row>
    <row r="77" spans="1:9" ht="15" customHeight="1" x14ac:dyDescent="0.4">
      <c r="B77" s="117" t="s">
        <v>133</v>
      </c>
      <c r="C77" s="95">
        <f>Data!C10-Data!C12</f>
        <v>220152</v>
      </c>
      <c r="D77" s="131">
        <f>C77/$C$74</f>
        <v>0.15697168260849415</v>
      </c>
      <c r="E77" s="148">
        <f>D77*E74</f>
        <v>220152</v>
      </c>
      <c r="F77" s="149">
        <f>E77/$E$74</f>
        <v>0.15697168260849415</v>
      </c>
    </row>
    <row r="78" spans="1:9" ht="15" customHeight="1" x14ac:dyDescent="0.4">
      <c r="B78" s="35" t="s">
        <v>97</v>
      </c>
      <c r="C78" s="118">
        <f>C76-C77</f>
        <v>513342</v>
      </c>
      <c r="D78" s="132"/>
      <c r="E78" s="150">
        <f>E76-E77</f>
        <v>513342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>
        <f>C79/$C$74</f>
        <v>0</v>
      </c>
      <c r="E79" s="148">
        <f>C79</f>
        <v>0</v>
      </c>
      <c r="F79" s="149">
        <f>E79/$E$74</f>
        <v>0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42074.85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513342</v>
      </c>
      <c r="D83" s="133">
        <f>C83/$C$74</f>
        <v>0.36602055622301682</v>
      </c>
      <c r="E83" s="151">
        <f>E78-E79-E80-E81-E82</f>
        <v>471267.15</v>
      </c>
      <c r="F83" s="135">
        <f t="shared" si="8"/>
        <v>0.33602055622301685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385006.5</v>
      </c>
      <c r="D85" s="135">
        <f>C85/$C$74</f>
        <v>0.27451541716726263</v>
      </c>
      <c r="E85" s="153">
        <f>E83*(1-F84)</f>
        <v>353450.36250000005</v>
      </c>
      <c r="F85" s="135">
        <f>E85/$E$74</f>
        <v>0.25201541716726267</v>
      </c>
    </row>
    <row r="86" spans="1:8" ht="15" customHeight="1" x14ac:dyDescent="0.4">
      <c r="B86" s="94" t="s">
        <v>174</v>
      </c>
      <c r="C86" s="159">
        <f>C85*Data!E3/Common_Shares</f>
        <v>1.5399583805137493</v>
      </c>
      <c r="D86" s="130"/>
      <c r="E86" s="161">
        <f>E85*Data!E3/Common_Shares</f>
        <v>1.4137393727833107</v>
      </c>
      <c r="F86" s="130"/>
    </row>
    <row r="87" spans="1:8" ht="15" customHeight="1" x14ac:dyDescent="0.4">
      <c r="B87" s="93" t="s">
        <v>175</v>
      </c>
      <c r="C87" s="162">
        <f>0.4+0.197</f>
        <v>0.59699999999999998</v>
      </c>
      <c r="D87" s="135">
        <f>C87/C86</f>
        <v>0.38767281476843118</v>
      </c>
      <c r="E87" s="160">
        <v>0.4</v>
      </c>
      <c r="F87" s="135">
        <f>E87/E86</f>
        <v>0.28293758220264942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0.24730490990678156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48.500904814201341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8626199.6123094968</v>
      </c>
      <c r="D95" s="154">
        <f>PV(C92,D92,0,-F92)*Exchange_Rate</f>
        <v>34.503283411995547</v>
      </c>
      <c r="E95" s="154">
        <f>PV(15%,D92,0,-F92)*Exchange_Rate</f>
        <v>26.152649930833995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-34651817.944067784</v>
      </c>
      <c r="D97" s="197">
        <f>C97*Data!$E$3/Common_Shares</f>
        <v>-138.60118580596406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-26025618.331758287</v>
      </c>
      <c r="D98" s="124">
        <f>MAX(C98*Data!$E$3/Common_Shares,0)</f>
        <v>0</v>
      </c>
      <c r="E98" s="124">
        <f>E95*Exchange_Rate-D96+D97</f>
        <v>-110.23697123065205</v>
      </c>
      <c r="F98" s="12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1595016.6405026249</v>
      </c>
      <c r="D101" s="154">
        <f>E87/(C92-2%)*Exchange_Rate</f>
        <v>6.379786425945805</v>
      </c>
      <c r="E101" s="124">
        <f>D101*(1-25%)</f>
        <v>4.7848398194593535</v>
      </c>
      <c r="F101" s="124">
        <f>D101*1.25</f>
        <v>7.9747330324322565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797508.32025131246</v>
      </c>
      <c r="D104" s="154">
        <f>(D98+D101)/2</f>
        <v>3.1898932129729025</v>
      </c>
      <c r="E104" s="124">
        <f>D104*(1-25%)</f>
        <v>2.3924199097296768</v>
      </c>
      <c r="F104" s="124">
        <f>D104*1.25</f>
        <v>3.9873665162161283</v>
      </c>
    </row>
    <row r="106" spans="2:8" ht="15" customHeight="1" x14ac:dyDescent="0.4">
      <c r="B106" s="10" t="s">
        <v>180</v>
      </c>
      <c r="C106" s="164" t="s">
        <v>231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