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B78799B-FFEB-403A-A3A8-1A119599E149}" xr6:coauthVersionLast="47" xr6:coauthVersionMax="47" xr10:uidLastSave="{00000000-0000-0000-0000-000000000000}"/>
  <bookViews>
    <workbookView xWindow="1837" yWindow="1837" windowWidth="12691" windowHeight="7643" firstSheet="1" activeTab="1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D8" i="2"/>
  <c r="C10" i="2"/>
  <c r="C8" i="2"/>
  <c r="C7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21" i="2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<sst xmlns="http://schemas.openxmlformats.org/spreadsheetml/2006/main" count="253" uniqueCount="232">
  <si>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</si>
  <si>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</si>
  <si>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</si>
  <si>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</si>
  <si>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</si>
  <si>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</si>
  <si>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</si>
  <si>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</si>
  <si>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</si>
  <si>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</si>
  <si>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</si>
  <si>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</si>
  <si>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</si>
  <si>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</si>
  <si>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</si>
  <si>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</si>
  <si>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</si>
  <si>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</si>
  <si>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</si>
  <si>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</si>
  <si>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</si>
  <si>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</si>
  <si>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</si>
  <si>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</si>
  <si>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</si>
  <si>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</si>
  <si>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</si>
  <si>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</si>
  <si>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</si>
  <si>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</si>
  <si>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</si>
  <si>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</si>
  <si>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</si>
  <si>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</si>
  <si>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</si>
  <si>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</si>
  <si>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</si>
  <si>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</si>
  <si>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</si>
  <si>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</si>
  <si>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</si>
  <si>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</si>
  <si>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</si>
  <si>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</si>
  <si>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</si>
  <si>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</si>
  <si>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</si>
  <si>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</si>
  <si>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</si>
  <si>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</si>
  <si>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</si>
  <si>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</si>
  <si>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</si>
  <si>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</si>
  <si>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</si>
  <si>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</si>
  <si>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</si>
  <si>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</si>
  <si>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</si>
  <si>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</si>
  <si>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</si>
  <si>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</si>
  <si>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</si>
  <si>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</si>
  <si>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</si>
  <si>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</si>
  <si>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</si>
  <si>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</si>
  <si>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</si>
  <si>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</si>
  <si>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</si>
  <si>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</si>
  <si>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</si>
  <si>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</si>
  <si>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</si>
  <si>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</si>
  <si>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</si>
  <si>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</si>
  <si>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</si>
  <si>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</si>
  <si>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</si>
  <si>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</si>
  <si>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</si>
  <si>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</si>
  <si>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</si>
  <si>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</si>
  <si>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</si>
  <si>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</si>
  <si>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</si>
  <si>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</si>
  <si>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</si>
  <si>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</si>
  <si>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</si>
  <si>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</si>
  <si>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</si>
  <si>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</si>
  <si>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</si>
  <si>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</si>
  <si>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</si>
  <si>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</si>
  <si>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</si>
  <si>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</si>
  <si>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</si>
  <si>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</si>
  <si>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</si>
  <si>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</si>
  <si>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</si>
  <si>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</si>
  <si>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</si>
  <si>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</si>
  <si>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</si>
  <si>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</si>
  <si>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</si>
  <si>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</si>
  <si>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</si>
  <si>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</si>
  <si>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</si>
  <si>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</si>
  <si>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</si>
  <si>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</si>
  <si>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</si>
  <si>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</si>
  <si>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</si>
  <si>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</si>
  <si>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</si>
  <si>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</si>
  <si>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</si>
  <si>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</si>
  <si>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</si>
  <si>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</si>
  <si>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</si>
  <si>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</si>
  <si>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</si>
  <si>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</si>
  <si>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</si>
  <si>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</si>
  <si>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</si>
  <si>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</si>
  <si>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</si>
  <si>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</si>
  <si>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</si>
  <si>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</si>
  <si>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</si>
  <si>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</si>
  <si>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</si>
  <si>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</si>
  <si>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</si>
  <si>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</si>
  <si>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</si>
  <si>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</si>
  <si>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</si>
  <si>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</si>
  <si>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</si>
  <si>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</si>
  <si>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</si>
  <si>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</si>
  <si>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</si>
  <si>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</si>
  <si>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</si>
  <si>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</si>
  <si>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</si>
  <si>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</si>
  <si>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</si>
  <si>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</si>
  <si>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</si>
  <si>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</si>
  <si>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</si>
  <si>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</si>
  <si>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</si>
  <si>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</si>
  <si>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</si>
  <si>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</si>
  <si>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</si>
  <si>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</si>
  <si>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</si>
  <si>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</si>
  <si>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</si>
  <si>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</si>
  <si>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</si>
  <si>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</si>
  <si>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</si>
  <si>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</si>
  <si>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</si>
  <si>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</si>
  <si>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</si>
  <si>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</si>
  <si>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</si>
  <si>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</si>
  <si>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</si>
  <si>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</si>
  <si>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</si>
  <si>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</si>
  <si>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</si>
  <si>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</si>
  <si>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</si>
  <si>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</si>
  <si>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</si>
  <si>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</si>
  <si>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</si>
  <si>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</si>
  <si>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</si>
  <si>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</si>
  <si>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</si>
  <si>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</si>
  <si>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</si>
  <si>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</si>
  <si>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</si>
  <si>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</si>
  <si>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</si>
  <si>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</si>
  <si>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</si>
  <si>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</si>
  <si>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</si>
  <si>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</si>
  <si>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</si>
  <si>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</si>
  <si>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</si>
  <si>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</si>
  <si>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</si>
  <si>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</si>
  <si>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</si>
  <si>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</si>
  <si>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</si>
  <si>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</si>
  <si>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</si>
  <si>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</si>
  <si>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</si>
  <si>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</si>
  <si>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</si>
  <si>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1405.HK</t>
  </si>
  <si>
    <t>達勢股份</t>
  </si>
  <si>
    <t>C0002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</si>
</sst>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2" sqref="C1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73.400001525878906</v>
      </c>
      <c r="H3" s="171" t="s">
        <v>2</v>
      </c>
    </row>
    <row r="4" spans="1:10" ht="15.75" customHeight="1" x14ac:dyDescent="0.5">
      <c r="B4" s="35" t="s">
        <v>218</v>
      </c>
      <c r="C4" s="203" t="s">
        <v>230</v>
      </c>
      <c r="D4" s="204"/>
      <c r="E4" s="94"/>
      <c r="F4" s="3" t="s">
        <v>3</v>
      </c>
      <c r="G4" s="207">
        <v>130481963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9577.3762832996745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231</v>
      </c>
      <c r="E7" s="94"/>
      <c r="F7" s="35" t="s">
        <v>6</v>
      </c>
      <c r="G7" s="170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0.8448760372568398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0.18023840312844694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1.7912194354438221E-2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0.68646579341105385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-1.8921375280096655E-2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</v>
      </c>
    </row>
    <row r="26" spans="1:8" ht="15.75" customHeight="1" x14ac:dyDescent="0.4">
      <c r="B26" s="176" t="s">
        <v>191</v>
      </c>
      <c r="C26" s="175">
        <f>Fin_Analysis!F83</f>
        <v>-7.3026634739724955E-2</v>
      </c>
      <c r="F26" s="180" t="s">
        <v>216</v>
      </c>
      <c r="G26" s="179">
        <f>Fin_Analysis!E87*Exchange_Rate/G3</f>
        <v>0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2.3579660679208017</v>
      </c>
      <c r="D29" s="165">
        <f>IF(Fin_Analysis!C106="Profit",Fin_Analysis!F98,IF(Fin_Analysis!C106="Dividend",Fin_Analysis!F101,Fin_Analysis!F104))</f>
        <v>0.85482598993398451</v>
      </c>
      <c r="E29" s="94"/>
      <c r="F29" s="167">
        <f>IF(Fin_Analysis!C106="Profit",Fin_Analysis!D98,IF(Fin_Analysis!C106="Dividend",Fin_Analysis!D101,Fin_Analysis!D104))</f>
        <v>0.68386079194718763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abSelected="1" topLeftCell="A3" zoomScaleNormal="100" workbookViewId="0">
      <pane xSplit="2" topLeftCell="C1" activePane="topRight" state="frozen"/>
      <selection activeCell="A4" sqref="A4"/>
      <selection pane="topRight" activeCell="C12" sqref="C1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3050715</v>
      </c>
      <c r="D6" s="58">
        <v>2020789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0.50966528420334822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836796+1178681+236855+159196+51125+114823</f>
        <v>2577476</v>
      </c>
      <c r="D8" s="92">
        <f>549721+785040+190633+120692+47476+82984</f>
        <v>1776546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473239</v>
      </c>
      <c r="D9" s="101">
        <f t="shared" si="2"/>
        <v>244243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159214+188892+70843+130907</f>
        <v>549856</v>
      </c>
      <c r="D10" s="92">
        <f>116809+129750+25847+122760</f>
        <v>395166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-76617</v>
      </c>
      <c r="D13" s="101">
        <f t="shared" ref="D13:M13" si="4">IF(D6="","",(D9-D10+D12))</f>
        <v>-150923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54645</v>
      </c>
      <c r="D17" s="92">
        <v>78321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-131262</v>
      </c>
      <c r="D19" s="95">
        <f>IF(D6="","",D13-D14-MAX(D15,0)-MAX(D16,0)-D17-MAX(D18/(1-Fin_Analysis!$F$84),0))</f>
        <v>-229244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0.42741358552459391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-3.226997605479371E-2</v>
      </c>
      <c r="D21" s="56">
        <f t="shared" si="6"/>
        <v>-8.5082113966376494E-2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-98446.5</v>
      </c>
      <c r="D22" s="95">
        <f>IF(D6="","",D19*(1-Fin_Analysis!$F$84))</f>
        <v>-171933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0.42741358552459391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-9.4228915058083857E-3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0.8448760372568398</v>
      </c>
      <c r="D40" s="61">
        <f t="shared" si="21"/>
        <v>0.87913483297860395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0.18023840312844694</v>
      </c>
      <c r="D41" s="56">
        <f t="shared" si="22"/>
        <v>0.19555035186751313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1.7912194354438221E-2</v>
      </c>
      <c r="D44" s="56">
        <f t="shared" si="25"/>
        <v>3.8757633775718295E-2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-4.3026634739724949E-2</v>
      </c>
      <c r="D46" s="56">
        <f t="shared" si="26"/>
        <v>-0.11344281862183533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8.7118265718036589E-2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3.1704882298084218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-0.13544494627583667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-0.41630479499017231</v>
      </c>
      <c r="D53" s="56">
        <f t="shared" si="31"/>
        <v>-0.34164907260386312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0" zoomScaleNormal="100" workbookViewId="0">
      <selection activeCell="C88" sqref="C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4048308.8135904786</v>
      </c>
      <c r="E6" s="56">
        <f>1-D6/D3</f>
        <v>0.68529688173907477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33.649468891626206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3050715</v>
      </c>
      <c r="D74" s="130"/>
      <c r="E74" s="148">
        <f>C74</f>
        <v>3050715</v>
      </c>
      <c r="F74" s="130"/>
    </row>
    <row r="75" spans="1:9" ht="15" customHeight="1" x14ac:dyDescent="0.4">
      <c r="B75" s="117" t="s">
        <v>109</v>
      </c>
      <c r="C75" s="95">
        <f>Data!C8</f>
        <v>2577476</v>
      </c>
      <c r="D75" s="131">
        <f>C75/$C$74</f>
        <v>0.8448760372568398</v>
      </c>
      <c r="E75" s="148">
        <f>D75*E74</f>
        <v>2577476</v>
      </c>
      <c r="F75" s="149">
        <f>E75/$E$74</f>
        <v>0.8448760372568398</v>
      </c>
    </row>
    <row r="76" spans="1:9" ht="15" customHeight="1" x14ac:dyDescent="0.4">
      <c r="B76" s="35" t="s">
        <v>96</v>
      </c>
      <c r="C76" s="118">
        <f>C74-C75</f>
        <v>473239</v>
      </c>
      <c r="D76" s="132"/>
      <c r="E76" s="150">
        <f>E74-E75</f>
        <v>473239</v>
      </c>
      <c r="F76" s="132"/>
    </row>
    <row r="77" spans="1:9" ht="15" customHeight="1" x14ac:dyDescent="0.4">
      <c r="B77" s="117" t="s">
        <v>133</v>
      </c>
      <c r="C77" s="95">
        <f>Data!C10-Data!C12</f>
        <v>549856</v>
      </c>
      <c r="D77" s="131">
        <f>C77/$C$74</f>
        <v>0.18023840312844694</v>
      </c>
      <c r="E77" s="148">
        <f>D77*E74</f>
        <v>549856</v>
      </c>
      <c r="F77" s="149">
        <f>E77/$E$74</f>
        <v>0.18023840312844694</v>
      </c>
    </row>
    <row r="78" spans="1:9" ht="15" customHeight="1" x14ac:dyDescent="0.4">
      <c r="B78" s="35" t="s">
        <v>97</v>
      </c>
      <c r="C78" s="118">
        <f>C76-C77</f>
        <v>-76617</v>
      </c>
      <c r="D78" s="132"/>
      <c r="E78" s="150">
        <f>E76-E77</f>
        <v>-76617</v>
      </c>
      <c r="F78" s="132"/>
    </row>
    <row r="79" spans="1:9" ht="15" customHeight="1" x14ac:dyDescent="0.4">
      <c r="B79" s="117" t="s">
        <v>129</v>
      </c>
      <c r="C79" s="95">
        <f>Data!C17</f>
        <v>54645</v>
      </c>
      <c r="D79" s="131">
        <f>C79/$C$74</f>
        <v>1.7912194354438221E-2</v>
      </c>
      <c r="E79" s="148">
        <f>C79</f>
        <v>54645</v>
      </c>
      <c r="F79" s="149">
        <f>E79/$E$74</f>
        <v>1.7912194354438221E-2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91521.45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-131262</v>
      </c>
      <c r="D83" s="133">
        <f>C83/$C$74</f>
        <v>-4.3026634739724949E-2</v>
      </c>
      <c r="E83" s="151">
        <f>E78-E79-E80-E81-E82</f>
        <v>-222783.45</v>
      </c>
      <c r="F83" s="135">
        <f t="shared" si="8"/>
        <v>-7.3026634739724955E-2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-98446.5</v>
      </c>
      <c r="D85" s="135">
        <f>C85/$C$74</f>
        <v>-3.226997605479371E-2</v>
      </c>
      <c r="E85" s="153">
        <f>E83*(1-F84)</f>
        <v>-167087.58750000002</v>
      </c>
      <c r="F85" s="135">
        <f>E85/$E$74</f>
        <v>-5.4769976054793723E-2</v>
      </c>
    </row>
    <row r="86" spans="1:8" ht="15" customHeight="1" x14ac:dyDescent="0.4">
      <c r="B86" s="94" t="s">
        <v>174</v>
      </c>
      <c r="C86" s="159">
        <f>C85*Data!E3/Common_Shares</f>
        <v>-0.75448359096191708</v>
      </c>
      <c r="D86" s="130"/>
      <c r="E86" s="161">
        <f>E85*Data!E3/Common_Shares</f>
        <v>-1.2805416446716089</v>
      </c>
      <c r="F86" s="130"/>
    </row>
    <row r="87" spans="1:8" ht="15" customHeight="1" x14ac:dyDescent="0.4">
      <c r="B87" s="93" t="s">
        <v>175</v>
      </c>
      <c r="C87" s="162">
        <v>0</v>
      </c>
      <c r="D87" s="135">
        <f>C87/C86</f>
        <v>0</v>
      </c>
      <c r="E87" s="160">
        <f>C87</f>
        <v>0</v>
      </c>
      <c r="F87" s="135">
        <f>E87/E86</f>
        <v>0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-1.8921375280096655E-2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-13.226048249169407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-1227696.9281794557</v>
      </c>
      <c r="D95" s="154">
        <f>PV(C92,D92,0,-F92)*Exchange_Rate</f>
        <v>-9.4089397488559836</v>
      </c>
      <c r="E95" s="154">
        <f>PV(15%,D92,0,-F92)*Exchange_Rate</f>
        <v>-7.1317475654096869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1316928.4267314593</v>
      </c>
      <c r="D97" s="197">
        <f>C97*Data!$E$3/Common_Shares</f>
        <v>10.092800540803172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89231.498552003643</v>
      </c>
      <c r="D98" s="124">
        <f>MAX(C98*Data!$E$3/Common_Shares,0)</f>
        <v>0.68386079194718763</v>
      </c>
      <c r="E98" s="124">
        <f>E95*Exchange_Rate-D96+D97</f>
        <v>2.3579660679208017</v>
      </c>
      <c r="F98" s="124">
        <f>D98*1.25</f>
        <v>0.85482598993398451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0</v>
      </c>
      <c r="D101" s="154">
        <f>E87/(C92-2%)*Exchange_Rate</f>
        <v>0</v>
      </c>
      <c r="E101" s="124">
        <f>D101*(1-25%)</f>
        <v>0</v>
      </c>
      <c r="F101" s="124">
        <f>D101*1.25</f>
        <v>0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44615.749276001821</v>
      </c>
      <c r="D104" s="154">
        <f>(D98+D101)/2</f>
        <v>0.34193039597359381</v>
      </c>
      <c r="E104" s="124">
        <f>D104*(1-25%)</f>
        <v>0.25644779698019537</v>
      </c>
      <c r="F104" s="124">
        <f>D104*1.25</f>
        <v>0.42741299496699225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