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9365C74-1B2B-4CF1-B20B-5AA74669D715}" xr6:coauthVersionLast="47" xr6:coauthVersionMax="47" xr10:uidLastSave="{00000000-0000-0000-0000-000000000000}"/>
  <bookViews>
    <workbookView xWindow="1837" yWindow="1837" windowWidth="12691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6" i="2" l="1"/>
  <c r="D8" i="2" l="1"/>
  <c r="C8" i="2"/>
  <c r="C87" i="3"/>
  <c r="D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E87" i="3" l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<sst xmlns="http://schemas.openxmlformats.org/spreadsheetml/2006/main" count="262" uniqueCount="240">
  <si>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</si>
  <si>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</si>
  <si>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</si>
  <si>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</si>
  <si>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</si>
  <si>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</si>
  <si>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</si>
  <si>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</si>
  <si>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</si>
  <si>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</si>
  <si>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</si>
  <si>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</si>
  <si>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</si>
  <si>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</si>
  <si>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</si>
  <si>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</si>
  <si>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</si>
  <si>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</si>
  <si>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</si>
  <si>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</si>
  <si>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</si>
  <si>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</si>
  <si>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</si>
  <si>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</si>
  <si>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</si>
  <si>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</si>
  <si>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</si>
  <si>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</si>
  <si>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</si>
  <si>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</si>
  <si>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</si>
  <si>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</si>
  <si>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</si>
  <si>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</si>
  <si>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</si>
  <si>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</si>
  <si>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</si>
  <si>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</si>
  <si>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</si>
  <si>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</si>
  <si>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</si>
  <si>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</si>
  <si>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</si>
  <si>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</si>
  <si>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</si>
  <si>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</si>
  <si>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</si>
  <si>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</si>
  <si>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</si>
  <si>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</si>
  <si>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</si>
  <si>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</si>
  <si>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</si>
  <si>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</si>
  <si>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</si>
  <si>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</si>
  <si>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</si>
  <si>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</si>
  <si>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</si>
  <si>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</si>
  <si>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</si>
  <si>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</si>
  <si>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</si>
  <si>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</si>
  <si>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</si>
  <si>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</si>
  <si>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</si>
  <si>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</si>
  <si>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</si>
  <si>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</si>
  <si>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</si>
  <si>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</si>
  <si>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</si>
  <si>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</si>
  <si>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</si>
  <si>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</si>
  <si>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</si>
  <si>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</si>
  <si>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</si>
  <si>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</si>
  <si>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</si>
  <si>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</si>
  <si>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</si>
  <si>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</si>
  <si>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</si>
  <si>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</si>
  <si>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</si>
  <si>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</si>
  <si>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</si>
  <si>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</si>
  <si>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</si>
  <si>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</si>
  <si>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</si>
  <si>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</si>
  <si>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</si>
  <si>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</si>
  <si>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</si>
  <si>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</si>
  <si>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</si>
  <si>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</si>
  <si>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</si>
  <si>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</si>
  <si>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</si>
  <si>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</si>
  <si>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</si>
  <si>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</si>
  <si>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</si>
  <si>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</si>
  <si>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</si>
  <si>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</si>
  <si>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</si>
  <si>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</si>
  <si>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</si>
  <si>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</si>
  <si>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</si>
  <si>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</si>
  <si>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</si>
  <si>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</si>
  <si>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</si>
  <si>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</si>
  <si>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</si>
  <si>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</si>
  <si>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</si>
  <si>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</si>
  <si>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</si>
  <si>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</si>
  <si>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</si>
  <si>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</si>
  <si>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</si>
  <si>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</si>
  <si>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</si>
  <si>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</si>
  <si>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</si>
  <si>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</si>
  <si>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</si>
  <si>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</si>
  <si>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</si>
  <si>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</si>
  <si>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</si>
  <si>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</si>
  <si>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</si>
  <si>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</si>
  <si>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</si>
  <si>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</si>
  <si>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</si>
  <si>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</si>
  <si>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</si>
  <si>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</si>
  <si>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</si>
  <si>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</si>
  <si>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</si>
  <si>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</si>
  <si>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</si>
  <si>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</si>
  <si>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</si>
  <si>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</si>
  <si>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</si>
  <si>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</si>
  <si>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</si>
  <si>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</si>
  <si>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</si>
  <si>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</si>
  <si>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</si>
  <si>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</si>
  <si>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</si>
  <si>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</si>
  <si>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</si>
  <si>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</si>
  <si>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</si>
  <si>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</si>
  <si>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</si>
  <si>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</si>
  <si>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</si>
  <si>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</si>
  <si>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</si>
  <si>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</si>
  <si>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</si>
  <si>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</si>
  <si>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</si>
  <si>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</si>
  <si>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</si>
  <si>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</si>
  <si>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</si>
  <si>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</si>
  <si>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</si>
  <si>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</si>
  <si>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</si>
  <si>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</si>
  <si>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</si>
  <si>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</si>
  <si>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</si>
  <si>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</si>
  <si>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</si>
  <si>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</si>
  <si>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</si>
  <si>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</si>
  <si>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</si>
  <si>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</si>
  <si>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</si>
  <si>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</si>
  <si>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</si>
  <si>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</si>
  <si>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</si>
  <si>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</si>
  <si>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</si>
  <si>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</si>
  <si>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</si>
  <si>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</si>
  <si>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</si>
  <si>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</si>
  <si>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</si>
  <si>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</si>
  <si>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</si>
  <si>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</si>
  <si>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</si>
  <si>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</si>
  <si>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</si>
  <si>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</si>
  <si>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</si>
  <si>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</si>
  <si>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</si>
  <si>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</si>
  <si>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</si>
  <si>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</si>
  <si>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</si>
  <si>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</si>
  <si>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</si>
  <si>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</si>
  <si>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</si>
  <si>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</si>
  <si>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</si>
  <si>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</si>
  <si>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</si>
  <si>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</si>
  <si>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</si>
  <si>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2888.HK</t>
    <phoneticPr fontId="20" type="noConversion"/>
  </si>
  <si>
    <t>C0014</t>
    <phoneticPr fontId="20" type="noConversion"/>
  </si>
  <si>
    <t>USD</t>
  </si>
  <si>
    <t>UK Tax Rate</t>
    <phoneticPr fontId="20" type="noConversion"/>
  </si>
  <si>
    <t>Standard Chartered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</si>
</sst>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5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6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4" sqref="C4:D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235</v>
      </c>
      <c r="D3" s="212"/>
      <c r="E3" s="90"/>
      <c r="F3" s="3" t="s">
        <v>1</v>
      </c>
      <c r="G3" s="142">
        <v>94</v>
      </c>
      <c r="H3" s="144" t="s">
        <v>2</v>
      </c>
    </row>
    <row r="4" spans="1:10" ht="15.75" customHeight="1" x14ac:dyDescent="0.4">
      <c r="B4" s="35" t="s">
        <v>217</v>
      </c>
      <c r="C4" s="213" t="s">
        <v>239</v>
      </c>
      <c r="D4" s="214"/>
      <c r="E4" s="90"/>
      <c r="F4" s="3" t="s">
        <v>3</v>
      </c>
      <c r="G4" s="217">
        <v>2454657755</v>
      </c>
      <c r="H4" s="217"/>
      <c r="I4" s="39"/>
    </row>
    <row r="5" spans="1:10" ht="15.75" customHeight="1" x14ac:dyDescent="0.4">
      <c r="B5" s="3" t="s">
        <v>178</v>
      </c>
      <c r="C5" s="215">
        <v>45606</v>
      </c>
      <c r="D5" s="216"/>
      <c r="E5" s="34"/>
      <c r="F5" s="35" t="s">
        <v>102</v>
      </c>
      <c r="G5" s="209">
        <f>G3*G4/1000000</f>
        <v>230737.82897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0" t="s">
        <v>237</v>
      </c>
      <c r="H6" s="210"/>
      <c r="I6" s="38"/>
    </row>
    <row r="7" spans="1:10" ht="15.75" customHeight="1" x14ac:dyDescent="0.4">
      <c r="B7" s="89" t="s">
        <v>214</v>
      </c>
      <c r="C7" s="154" t="s">
        <v>71</v>
      </c>
      <c r="D7" s="158" t="s">
        <v>236</v>
      </c>
      <c r="E7" s="90"/>
      <c r="F7" s="35" t="s">
        <v>6</v>
      </c>
      <c r="G7" s="143">
        <v>7.7738432884216309</v>
      </c>
      <c r="H7" s="74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3.4550297712315887E-2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0.30165569831818656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0.50814791601378884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2.3073338243721226E-3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0.12400392623831165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0.20007542428017008</v>
      </c>
    </row>
    <row r="26" spans="1:8" ht="15.75" customHeight="1" x14ac:dyDescent="0.4">
      <c r="B26" s="148" t="s">
        <v>191</v>
      </c>
      <c r="C26" s="201">
        <f>Fin_Analysis!F83</f>
        <v>0.12564608795570875</v>
      </c>
      <c r="F26" s="151" t="s">
        <v>215</v>
      </c>
      <c r="G26" s="208">
        <f>Fin_Analysis!E87*Exchange_Rate/G3</f>
        <v>2.4810138154537118E-2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27.329917810857296</v>
      </c>
      <c r="D29" s="139">
        <f>IF(Fin_Analysis!C106="Profit",Fin_Analysis!F98,IF(Fin_Analysis!C106="Dividend",Fin_Analysis!F101,Fin_Analysis!F104))</f>
        <v>45.549863018095493</v>
      </c>
      <c r="E29" s="90"/>
      <c r="F29" s="141">
        <f>IF(Fin_Analysis!C106="Profit",Fin_Analysis!D98,IF(Fin_Analysis!C106="Dividend",Fin_Analysis!D101,Fin_Analysis!D104))</f>
        <v>36.439890414476395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7" sqref="C7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5960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USD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169">
        <f>27227+4067+6292+706</f>
        <v>38292</v>
      </c>
      <c r="D6" s="169">
        <f>15252+3972+5310+302</f>
        <v>24836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0.54179416975358352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f>815+508</f>
        <v>1323</v>
      </c>
      <c r="D8" s="170">
        <f>859+836</f>
        <v>1695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36969</v>
      </c>
      <c r="D9" s="171">
        <f t="shared" si="2"/>
        <v>23141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11551</v>
      </c>
      <c r="D10" s="170">
        <v>10913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25418</v>
      </c>
      <c r="D13" s="171">
        <f t="shared" ref="D13:M13" si="4">IF(D6="","",(D9-D10+D12))</f>
        <v>12228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19458</v>
      </c>
      <c r="D17" s="170">
        <v>7659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-7</v>
      </c>
      <c r="D18" s="170">
        <v>-46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5960</v>
      </c>
      <c r="D19" s="80">
        <f>IF(D6="","",D9-D10-D17-MAX(D18/(1-Fin_Analysis!$F$84),0))</f>
        <v>4569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0.3044429853359597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5960</v>
      </c>
      <c r="D21" s="80">
        <f>IF(D6="","",D13-D14-MAX(D15,0)-MAX(D16,0)-D17-MAX(D18/(1-Fin_Analysis!$F$84),0))</f>
        <v>4569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0.3044429853359597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0.1190692572861172</v>
      </c>
      <c r="D23" s="174">
        <f t="shared" si="7"/>
        <v>0.14073461910130455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4559.3999999999996</v>
      </c>
      <c r="D24" s="80">
        <f>IF(D6="","",D21*(1-Fin_Analysis!$F$84))</f>
        <v>3495.2849999999999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0.3044429853359597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4.2784989848256141E-4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3.4550297712315887E-2</v>
      </c>
      <c r="D42" s="178">
        <f t="shared" si="22"/>
        <v>6.8247704944435494E-2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0.30165569831818656</v>
      </c>
      <c r="D43" s="174">
        <f t="shared" si="23"/>
        <v>0.43940248027057499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0.50814791601378884</v>
      </c>
      <c r="D46" s="174">
        <f t="shared" si="26"/>
        <v>0.30838299243034306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0</v>
      </c>
      <c r="D47" s="174">
        <f>IF(D6="","",MAX(D18,0)/(1-Fin_Analysis!$F$84)/D6)</f>
        <v>0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0.15564608795570875</v>
      </c>
      <c r="D48" s="174">
        <f t="shared" si="27"/>
        <v>0.18396682235464648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6.9406925728611721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252.59208189700198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6.1499282336394887E-3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3.2647651006711409</v>
      </c>
      <c r="D55" s="174">
        <f t="shared" si="32"/>
        <v>1.6762967826657913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23" zoomScaleNormal="100" workbookViewId="0">
      <selection activeCell="E83" sqref="E8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29017123.217571832</v>
      </c>
      <c r="E6" s="56">
        <f>1-D6/D3</f>
        <v>-1.2557022154227151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91896.545705706434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45291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1000000USD)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38292</v>
      </c>
      <c r="D74" s="181"/>
      <c r="E74" s="182">
        <f>C74</f>
        <v>38292</v>
      </c>
      <c r="F74" s="181"/>
    </row>
    <row r="75" spans="1:9" ht="15" customHeight="1" x14ac:dyDescent="0.4">
      <c r="B75" s="109" t="s">
        <v>109</v>
      </c>
      <c r="C75" s="80">
        <f>Data!C8</f>
        <v>1323</v>
      </c>
      <c r="D75" s="183">
        <f>C75/$C$74</f>
        <v>3.4550297712315887E-2</v>
      </c>
      <c r="E75" s="182">
        <f>D75*E74</f>
        <v>1323</v>
      </c>
      <c r="F75" s="184">
        <f>E75/$E$74</f>
        <v>3.4550297712315887E-2</v>
      </c>
    </row>
    <row r="76" spans="1:9" ht="15" customHeight="1" x14ac:dyDescent="0.4">
      <c r="B76" s="35" t="s">
        <v>96</v>
      </c>
      <c r="C76" s="185">
        <f>C74-C75</f>
        <v>36969</v>
      </c>
      <c r="D76" s="186"/>
      <c r="E76" s="187">
        <f>E74-E75</f>
        <v>36969</v>
      </c>
      <c r="F76" s="186"/>
    </row>
    <row r="77" spans="1:9" ht="15" customHeight="1" x14ac:dyDescent="0.4">
      <c r="B77" s="109" t="s">
        <v>133</v>
      </c>
      <c r="C77" s="80">
        <f>Data!C10-Data!C12</f>
        <v>11551</v>
      </c>
      <c r="D77" s="183">
        <f>C77/$C$74</f>
        <v>0.30165569831818656</v>
      </c>
      <c r="E77" s="182">
        <f>D77*E74</f>
        <v>11551</v>
      </c>
      <c r="F77" s="184">
        <f>E77/$E$74</f>
        <v>0.30165569831818656</v>
      </c>
    </row>
    <row r="78" spans="1:9" ht="15" customHeight="1" x14ac:dyDescent="0.4">
      <c r="B78" s="35" t="s">
        <v>97</v>
      </c>
      <c r="C78" s="185">
        <f>C76-C77</f>
        <v>25418</v>
      </c>
      <c r="D78" s="186"/>
      <c r="E78" s="187">
        <f>E76-E77</f>
        <v>25418</v>
      </c>
      <c r="F78" s="186"/>
    </row>
    <row r="79" spans="1:9" ht="15" customHeight="1" x14ac:dyDescent="0.4">
      <c r="B79" s="109" t="s">
        <v>129</v>
      </c>
      <c r="C79" s="80">
        <f>Data!C17</f>
        <v>19458</v>
      </c>
      <c r="D79" s="183">
        <f>C79/$C$74</f>
        <v>0.50814791601378884</v>
      </c>
      <c r="E79" s="182">
        <f>C79</f>
        <v>19458</v>
      </c>
      <c r="F79" s="184">
        <f>E79/$E$74</f>
        <v>0.50814791601378884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1148.76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0</v>
      </c>
      <c r="D82" s="183">
        <f>C82/$C$74</f>
        <v>0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5960</v>
      </c>
      <c r="D83" s="189">
        <f>C83/$C$74</f>
        <v>0.15564608795570875</v>
      </c>
      <c r="E83" s="190">
        <f>E78-E79-E80-E81-E82</f>
        <v>4811.24</v>
      </c>
      <c r="F83" s="191">
        <f t="shared" si="8"/>
        <v>0.12564608795570875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0.23499999999999999</v>
      </c>
      <c r="H84" s="24" t="s">
        <v>238</v>
      </c>
    </row>
    <row r="85" spans="1:8" ht="15" customHeight="1" x14ac:dyDescent="0.4">
      <c r="B85" s="89" t="s">
        <v>179</v>
      </c>
      <c r="C85" s="185">
        <f>C83*(1-F84)</f>
        <v>4559.3999999999996</v>
      </c>
      <c r="D85" s="191">
        <f>C85/$C$74</f>
        <v>0.1190692572861172</v>
      </c>
      <c r="E85" s="196">
        <f>E83*(1-F84)</f>
        <v>3680.5985999999998</v>
      </c>
      <c r="F85" s="191">
        <f>E85/$E$74</f>
        <v>9.6119257286117199E-2</v>
      </c>
    </row>
    <row r="86" spans="1:8" ht="15" customHeight="1" x14ac:dyDescent="0.4">
      <c r="B86" s="90" t="s">
        <v>174</v>
      </c>
      <c r="C86" s="197">
        <f>C85*Data!C4/Common_Shares</f>
        <v>1.8574483512875708</v>
      </c>
      <c r="D86" s="181"/>
      <c r="E86" s="198">
        <f>E85*Data!C4/Common_Shares</f>
        <v>1.4994345311491295</v>
      </c>
      <c r="F86" s="181"/>
    </row>
    <row r="87" spans="1:8" ht="15" customHeight="1" x14ac:dyDescent="0.4">
      <c r="B87" s="89" t="s">
        <v>175</v>
      </c>
      <c r="C87" s="199">
        <f>0.21+0.09</f>
        <v>0.3</v>
      </c>
      <c r="D87" s="191">
        <f>C87/C86</f>
        <v>0.16151189334122912</v>
      </c>
      <c r="E87" s="200">
        <f>C87</f>
        <v>0.3</v>
      </c>
      <c r="F87" s="191">
        <f>E87/E86</f>
        <v>0.20007542428017008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1" t="s">
        <v>219</v>
      </c>
      <c r="E91" s="221"/>
      <c r="F91" s="29">
        <f>E86*Exchange_Rate/Dashboard!G3</f>
        <v>0.12400392623831165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32.024869112672192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408289.00272077526</v>
      </c>
      <c r="D95" s="132">
        <f>PV(C92,D92,0,-F92)*Exchange_Rate</f>
        <v>166.33235402740505</v>
      </c>
      <c r="E95" s="132">
        <f>PV(15%,D92,0,-F92)*Exchange_Rate</f>
        <v>123.77528733400466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9439367.4462047592</v>
      </c>
      <c r="D97" s="162">
        <f>C97*Data!$C$4/Common_Shares</f>
        <v>3845.4922797189543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9847656.4489255343</v>
      </c>
      <c r="D98" s="114">
        <f>MAX(C98*Data!$C$4/Common_Shares,0)</f>
        <v>4011.8246337463593</v>
      </c>
      <c r="E98" s="114">
        <f>E95*Exchange_Rate-D96+D97</f>
        <v>4807.7019664328654</v>
      </c>
      <c r="F98" s="114">
        <f>D98*1.25</f>
        <v>5014.780792182949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89447.45959724464</v>
      </c>
      <c r="D101" s="132">
        <f>E87/(C92-D100)*Exchange_Rate</f>
        <v>36.439890414476395</v>
      </c>
      <c r="E101" s="114">
        <f>D101*(1-25%)</f>
        <v>27.329917810857296</v>
      </c>
      <c r="F101" s="114">
        <f>D101*1.25</f>
        <v>45.549863018095493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4968551.9542613896</v>
      </c>
      <c r="D104" s="132">
        <f>(D98+D101)/2</f>
        <v>2024.1322620804178</v>
      </c>
      <c r="E104" s="114">
        <f>D104*(1-25%)</f>
        <v>1518.0991965603134</v>
      </c>
      <c r="F104" s="114">
        <f>D104*1.25</f>
        <v>2530.1653276005222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