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1FE47F-4E80-4727-9253-A95C2B8250AA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C41" i="3"/>
  <c r="I14" i="3"/>
  <c r="I11" i="3"/>
  <c r="C16" i="3"/>
  <c r="C14" i="3"/>
  <c r="D6" i="2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<sst xmlns="http://schemas.openxmlformats.org/spreadsheetml/2006/main" count="261" uniqueCount="239">
  <si>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</si>
  <si>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</si>
  <si>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</si>
  <si>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</si>
  <si>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</si>
  <si>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</si>
  <si>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</si>
  <si>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</si>
  <si>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</si>
  <si>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</si>
  <si>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</si>
  <si>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</si>
  <si>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</si>
  <si>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</si>
  <si>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</si>
  <si>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</si>
  <si>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</si>
  <si>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</si>
  <si>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</si>
  <si>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</si>
  <si>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</si>
  <si>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</si>
  <si>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</si>
  <si>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</si>
  <si>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</si>
  <si>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</si>
  <si>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</si>
  <si>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</si>
  <si>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</si>
  <si>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</si>
  <si>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</si>
  <si>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</si>
  <si>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</si>
  <si>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</si>
  <si>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</si>
  <si>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</si>
  <si>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</si>
  <si>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</si>
  <si>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</si>
  <si>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</si>
  <si>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</si>
  <si>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</si>
  <si>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</si>
  <si>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</si>
  <si>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</si>
  <si>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</si>
  <si>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</si>
  <si>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</si>
  <si>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</si>
  <si>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</si>
  <si>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</si>
  <si>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</si>
  <si>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</si>
  <si>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</si>
  <si>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</si>
  <si>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</si>
  <si>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</si>
  <si>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</si>
  <si>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</si>
  <si>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</si>
  <si>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</si>
  <si>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</si>
  <si>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</si>
  <si>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</si>
  <si>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</si>
  <si>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</si>
  <si>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</si>
  <si>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</si>
  <si>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</si>
  <si>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</si>
  <si>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</si>
  <si>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</si>
  <si>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</si>
  <si>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</si>
  <si>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</si>
  <si>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</si>
  <si>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</si>
  <si>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</si>
  <si>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</si>
  <si>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</si>
  <si>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</si>
  <si>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</si>
  <si>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</si>
  <si>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</si>
  <si>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</si>
  <si>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</si>
  <si>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</si>
  <si>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</si>
  <si>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</si>
  <si>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</si>
  <si>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</si>
  <si>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</si>
  <si>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</si>
  <si>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</si>
  <si>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</si>
  <si>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</si>
  <si>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</si>
  <si>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</si>
  <si>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</si>
  <si>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</si>
  <si>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</si>
  <si>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</si>
  <si>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</si>
  <si>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</si>
  <si>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</si>
  <si>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</si>
  <si>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</si>
  <si>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</si>
  <si>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</si>
  <si>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</si>
  <si>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</si>
  <si>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</si>
  <si>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</si>
  <si>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</si>
  <si>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</si>
  <si>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</si>
  <si>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</si>
  <si>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</si>
  <si>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</si>
  <si>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</si>
  <si>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</si>
  <si>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</si>
  <si>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</si>
  <si>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</si>
  <si>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</si>
  <si>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</si>
  <si>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</si>
  <si>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</si>
  <si>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</si>
  <si>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</si>
  <si>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</si>
  <si>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</si>
  <si>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</si>
  <si>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</si>
  <si>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</si>
  <si>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</si>
  <si>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</si>
  <si>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</si>
  <si>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</si>
  <si>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</si>
  <si>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</si>
  <si>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</si>
  <si>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</si>
  <si>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</si>
  <si>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</si>
  <si>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</si>
  <si>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</si>
  <si>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</si>
  <si>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</si>
  <si>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</si>
  <si>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</si>
  <si>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</si>
  <si>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</si>
  <si>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</si>
  <si>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</si>
  <si>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</si>
  <si>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</si>
  <si>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</si>
  <si>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</si>
  <si>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</si>
  <si>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</si>
  <si>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</si>
  <si>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</si>
  <si>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</si>
  <si>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</si>
  <si>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</si>
  <si>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</si>
  <si>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</si>
  <si>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</si>
  <si>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</si>
  <si>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</si>
  <si>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</si>
  <si>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</si>
  <si>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</si>
  <si>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</si>
  <si>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</si>
  <si>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</si>
  <si>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</si>
  <si>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</si>
  <si>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</si>
  <si>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</si>
  <si>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</si>
  <si>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</si>
  <si>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</si>
  <si>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</si>
  <si>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</si>
  <si>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</si>
  <si>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</si>
  <si>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</si>
  <si>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</si>
  <si>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</si>
  <si>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</si>
  <si>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</si>
  <si>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</si>
  <si>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</si>
  <si>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</si>
  <si>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</si>
  <si>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</si>
  <si>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</si>
  <si>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</si>
  <si>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</si>
  <si>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</si>
  <si>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</si>
  <si>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</si>
  <si>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</si>
  <si>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</si>
  <si>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</si>
  <si>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</si>
  <si>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</si>
  <si>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</si>
  <si>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</si>
  <si>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</si>
  <si>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</si>
  <si>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</si>
  <si>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</si>
  <si>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</si>
  <si>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</si>
  <si>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</si>
  <si>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</si>
  <si>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</si>
  <si>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</si>
  <si>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</si>
  <si>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</si>
  <si>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</si>
  <si>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</si>
  <si>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</si>
  <si>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</si>
  <si>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</si>
  <si>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</si>
  <si>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</si>
  <si>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</si>
  <si>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</si>
  <si>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</si>
  <si>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</si>
  <si>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</si>
  <si>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C0014</t>
    <phoneticPr fontId="20" type="noConversion"/>
  </si>
  <si>
    <t>CNY</t>
  </si>
  <si>
    <t>交通银行</t>
    <phoneticPr fontId="20" type="noConversion"/>
  </si>
  <si>
    <t>3328.HK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</si>
</sst>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3" fontId="2" fillId="9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2" t="s">
        <v>238</v>
      </c>
      <c r="D3" s="213"/>
      <c r="E3" s="90"/>
      <c r="F3" s="3" t="s">
        <v>1</v>
      </c>
      <c r="G3" s="142">
        <v>6.0500001907348633</v>
      </c>
      <c r="H3" s="144" t="s">
        <v>2</v>
      </c>
    </row>
    <row r="4" spans="1:10" ht="15.75" customHeight="1" x14ac:dyDescent="0.5">
      <c r="B4" s="35" t="s">
        <v>217</v>
      </c>
      <c r="C4" s="214" t="s">
        <v>237</v>
      </c>
      <c r="D4" s="215"/>
      <c r="E4" s="90"/>
      <c r="F4" s="3" t="s">
        <v>3</v>
      </c>
      <c r="G4" s="218">
        <v>74262726645</v>
      </c>
      <c r="H4" s="218"/>
      <c r="I4" s="39"/>
    </row>
    <row r="5" spans="1:10" ht="15.75" customHeight="1" x14ac:dyDescent="0.4">
      <c r="B5" s="3" t="s">
        <v>178</v>
      </c>
      <c r="C5" s="216">
        <v>45606</v>
      </c>
      <c r="D5" s="217"/>
      <c r="E5" s="34"/>
      <c r="F5" s="35" t="s">
        <v>102</v>
      </c>
      <c r="G5" s="210">
        <f>G3*G4/1000000</f>
        <v>449289.51036674104</v>
      </c>
      <c r="H5" s="210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1" t="s">
        <v>236</v>
      </c>
      <c r="H6" s="211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235</v>
      </c>
      <c r="E7" s="90"/>
      <c r="F7" s="35" t="s">
        <v>6</v>
      </c>
      <c r="G7" s="143">
        <v>1.0845636924107869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8.1734249293405042E-3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0.19791759120646774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0.583299310268654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1.2555792946230242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0.16578556824832844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0.4054938005026279</v>
      </c>
    </row>
    <row r="26" spans="1:8" ht="15.75" customHeight="1" x14ac:dyDescent="0.4">
      <c r="B26" s="148" t="s">
        <v>191</v>
      </c>
      <c r="C26" s="201">
        <f>Fin_Analysis!F83</f>
        <v>0.18060967359553776</v>
      </c>
      <c r="F26" s="151" t="s">
        <v>215</v>
      </c>
      <c r="G26" s="208">
        <f>Fin_Analysis!E87*Exchange_Rate/G3</f>
        <v>6.7225020137502492E-2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4.7661490389145911</v>
      </c>
      <c r="D29" s="139">
        <f>IF(Fin_Analysis!C106="Profit",Fin_Analysis!F98,IF(Fin_Analysis!C106="Dividend",Fin_Analysis!F101,Fin_Analysis!F104))</f>
        <v>7.9435817315243185</v>
      </c>
      <c r="E29" s="90"/>
      <c r="F29" s="141">
        <f>IF(Fin_Analysis!C106="Profit",Fin_Analysis!D98,IF(Fin_Analysis!C106="Dividend",Fin_Analysis!D101,Fin_Analysis!D104))</f>
        <v>6.3548653852194548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2" zoomScaleNormal="100" workbookViewId="0">
      <pane xSplit="2" topLeftCell="C1" activePane="topRight" state="frozen"/>
      <selection activeCell="A4" sqref="A4"/>
      <selection pane="topRight" activeCell="C57" sqref="C57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106082.33333333333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209">
        <f>459861+47148</f>
        <v>507009</v>
      </c>
      <c r="D6" s="209">
        <f>418067+49339</f>
        <v>467406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8.4729335952041795E-2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88">
        <v>4144</v>
      </c>
      <c r="D8" s="88">
        <v>4484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502865</v>
      </c>
      <c r="D9" s="171">
        <f t="shared" si="2"/>
        <v>462922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88">
        <v>100346</v>
      </c>
      <c r="D10" s="88">
        <v>96923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402519</v>
      </c>
      <c r="D13" s="171">
        <f t="shared" ref="D13:M13" si="4">IF(D6="","",(D9-D10+D12))</f>
        <v>365999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88">
        <v>295738</v>
      </c>
      <c r="D17" s="88">
        <v>248185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88">
        <v>524</v>
      </c>
      <c r="D18" s="88">
        <v>-147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106082.33333333333</v>
      </c>
      <c r="D19" s="80">
        <f>IF(D6="","",D9-D10-D17-MAX(D18/(1-Fin_Analysis!$F$84),0))</f>
        <v>117814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-9.9577865675273491E-2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106082.33333333333</v>
      </c>
      <c r="D21" s="80">
        <f>IF(D6="","",D13-D14-MAX(D15,0)-MAX(D16,0)-D17-MAX(D18/(1-Fin_Analysis!$F$84),0))</f>
        <v>117814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-9.9577865675273491E-2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0.15692374297103207</v>
      </c>
      <c r="D23" s="174">
        <f t="shared" si="7"/>
        <v>0.18904442818449058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79561.75</v>
      </c>
      <c r="D24" s="80">
        <f>IF(D6="","",D21*(1-Fin_Analysis!$F$84))</f>
        <v>88360.5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-9.957786567527345E-2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3998248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3621402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0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0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3668314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0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3075698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3075698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329934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3361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2099661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1898587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5.5874359896772349E-2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8.1734249293405042E-3</v>
      </c>
      <c r="D42" s="178">
        <f t="shared" si="22"/>
        <v>9.593372785116152E-3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0.19791759120646774</v>
      </c>
      <c r="D43" s="174">
        <f t="shared" si="23"/>
        <v>0.20736361963688957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0.583299310268654</v>
      </c>
      <c r="D46" s="174">
        <f t="shared" si="26"/>
        <v>0.53098376999867358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1.3780163008283218E-3</v>
      </c>
      <c r="D47" s="174">
        <f>IF(D6="","",MAX(D18,0)/(1-Fin_Analysis!$F$84)/D6)</f>
        <v>0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0.20923165729470941</v>
      </c>
      <c r="D48" s="174">
        <f t="shared" si="27"/>
        <v>0.25205923757932075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0.91748035639610148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3.4490490722214384E-2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2.78781575317285</v>
      </c>
      <c r="D55" s="174">
        <f t="shared" si="32"/>
        <v>2.1065832583563924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0.98721156367748231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8" priority="1">
      <formula>LEN(TRIM(C6))=0</formula>
    </cfRule>
  </conditionalFormatting>
  <conditionalFormatting sqref="C25:M25">
    <cfRule type="containsBlanks" dxfId="7" priority="7">
      <formula>LEN(TRIM(C25))=0</formula>
    </cfRule>
  </conditionalFormatting>
  <conditionalFormatting sqref="C27:M40">
    <cfRule type="containsBlanks" dxfId="6" priority="8">
      <formula>LEN(TRIM(C27))=0</formula>
    </cfRule>
  </conditionalFormatting>
  <conditionalFormatting sqref="D24:M24">
    <cfRule type="containsBlanks" dxfId="5" priority="6">
      <formula>LEN(TRIM(D24))=0</formula>
    </cfRule>
  </conditionalFormatting>
  <conditionalFormatting sqref="F4">
    <cfRule type="containsBlanks" dxfId="4" priority="5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5" zoomScaleNormal="100" workbookViewId="0">
      <selection activeCell="D93" sqref="D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329934</v>
      </c>
      <c r="E3" s="70" t="str">
        <f>IF((C49-I49)=D3,"", "Error!")</f>
        <v/>
      </c>
      <c r="F3" s="90"/>
      <c r="G3" s="90"/>
      <c r="H3" s="47" t="s">
        <v>24</v>
      </c>
      <c r="I3" s="57">
        <v>326573</v>
      </c>
      <c r="K3" s="24"/>
    </row>
    <row r="4" spans="1:11" ht="15" customHeight="1" x14ac:dyDescent="0.4">
      <c r="B4" s="3" t="s">
        <v>25</v>
      </c>
      <c r="C4" s="90"/>
      <c r="D4" s="66">
        <f>D3-I3</f>
        <v>3361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0.98721156367748231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-1886365.3097056465</v>
      </c>
      <c r="E6" s="56">
        <f>1-D6/D3</f>
        <v>6.7174019946584664</v>
      </c>
      <c r="F6" s="90"/>
      <c r="G6" s="90"/>
      <c r="H6" s="1" t="s">
        <v>30</v>
      </c>
      <c r="I6" s="64">
        <f>(C24+C25)/I28</f>
        <v>0.98721156367748231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0</v>
      </c>
      <c r="E7" s="11" t="str">
        <f>Dashboard!H3</f>
        <v>HKD</v>
      </c>
      <c r="H7" s="1" t="s">
        <v>31</v>
      </c>
      <c r="I7" s="64">
        <f>C24/I28</f>
        <v>0.51071963850422841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697785</v>
      </c>
      <c r="D11" s="61">
        <v>1</v>
      </c>
      <c r="E11" s="91">
        <f t="shared" ref="E11:E21" si="0">C11*D11</f>
        <v>697785</v>
      </c>
      <c r="F11" s="117"/>
      <c r="G11" s="90"/>
      <c r="H11" s="3" t="s">
        <v>39</v>
      </c>
      <c r="I11" s="60">
        <f>322117+2638288</f>
        <v>2960405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/>
      <c r="J12" s="90"/>
      <c r="K12" s="24"/>
    </row>
    <row r="13" spans="1:11" ht="13.9" x14ac:dyDescent="0.4">
      <c r="B13" s="3" t="s">
        <v>121</v>
      </c>
      <c r="C13" s="60"/>
      <c r="D13" s="61">
        <v>0.8</v>
      </c>
      <c r="E13" s="91">
        <f t="shared" si="0"/>
        <v>0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>
        <f>201801+973894</f>
        <v>1175695</v>
      </c>
      <c r="D14" s="61">
        <v>0.3</v>
      </c>
      <c r="E14" s="91">
        <f>C14*D14</f>
        <v>352708.5</v>
      </c>
      <c r="F14" s="117"/>
      <c r="G14" s="90"/>
      <c r="H14" s="89" t="s">
        <v>43</v>
      </c>
      <c r="I14" s="128">
        <f>71249+44044</f>
        <v>115293</v>
      </c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3075698</v>
      </c>
      <c r="J15" s="90"/>
    </row>
    <row r="16" spans="1:11" ht="13.9" x14ac:dyDescent="0.4">
      <c r="B16" s="1" t="s">
        <v>172</v>
      </c>
      <c r="C16" s="60">
        <f>58533+1689389</f>
        <v>1747922</v>
      </c>
      <c r="D16" s="61">
        <v>0.5</v>
      </c>
      <c r="E16" s="91">
        <f t="shared" si="0"/>
        <v>873961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/>
      <c r="D17" s="61">
        <v>0.1</v>
      </c>
      <c r="E17" s="91">
        <f t="shared" si="0"/>
        <v>0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/>
      <c r="D18" s="61">
        <v>0.5</v>
      </c>
      <c r="E18" s="91">
        <f t="shared" si="0"/>
        <v>0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/>
      <c r="D21" s="61">
        <v>0.95</v>
      </c>
      <c r="E21" s="91">
        <f t="shared" si="0"/>
        <v>0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592616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1873480</v>
      </c>
      <c r="D24" s="63">
        <f>IF(E24=0,0,E24/C24)</f>
        <v>0.56071775519354361</v>
      </c>
      <c r="E24" s="91">
        <f>SUM(E11:E14)</f>
        <v>1050493.5</v>
      </c>
      <c r="F24" s="119">
        <f>E24/$E$28</f>
        <v>0.54586559463993567</v>
      </c>
      <c r="G24" s="90"/>
    </row>
    <row r="25" spans="2:10" ht="15" customHeight="1" x14ac:dyDescent="0.4">
      <c r="B25" s="23" t="s">
        <v>55</v>
      </c>
      <c r="C25" s="62">
        <f>SUM(C15:C17)</f>
        <v>1747922</v>
      </c>
      <c r="D25" s="63">
        <f>IF(E25=0,0,E25/C25)</f>
        <v>0.5</v>
      </c>
      <c r="E25" s="91">
        <f>SUM(E15:E17)</f>
        <v>873961</v>
      </c>
      <c r="F25" s="119">
        <f t="shared" ref="F25:F27" si="2">E25/$E$28</f>
        <v>0.45413440536006439</v>
      </c>
      <c r="G25" s="90"/>
      <c r="H25" s="23" t="s">
        <v>56</v>
      </c>
      <c r="I25" s="64">
        <f>E28/I28</f>
        <v>0.52461553182197596</v>
      </c>
    </row>
    <row r="26" spans="2:10" ht="15" customHeight="1" x14ac:dyDescent="0.4">
      <c r="B26" s="23" t="s">
        <v>57</v>
      </c>
      <c r="C26" s="62">
        <f>C18+C19+C20</f>
        <v>0</v>
      </c>
      <c r="D26" s="63">
        <f t="shared" ref="D26:D27" si="3">IF(E26=0,0,E26/C26)</f>
        <v>0</v>
      </c>
      <c r="E26" s="91">
        <f>E18+E19+E20</f>
        <v>0</v>
      </c>
      <c r="F26" s="119">
        <f t="shared" si="2"/>
        <v>0</v>
      </c>
      <c r="G26" s="90"/>
      <c r="H26" s="23" t="s">
        <v>58</v>
      </c>
      <c r="I26" s="64">
        <f>E24/($I$28-I22)</f>
        <v>0.34154637418888328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0">
        <f>C21+C22</f>
        <v>0</v>
      </c>
      <c r="D27" s="63">
        <f t="shared" si="3"/>
        <v>0</v>
      </c>
      <c r="E27" s="91">
        <f>E21+E22</f>
        <v>0</v>
      </c>
      <c r="F27" s="119">
        <f t="shared" si="2"/>
        <v>0</v>
      </c>
      <c r="G27" s="90"/>
      <c r="H27" s="23" t="s">
        <v>60</v>
      </c>
      <c r="I27" s="64">
        <f>(E25+E24)/$I$28</f>
        <v>0.52461553182197596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3621402</v>
      </c>
      <c r="D28" s="58">
        <f t="shared" ref="D28" si="4">E28/C28</f>
        <v>0.53141145335425344</v>
      </c>
      <c r="E28" s="73">
        <f>SUM(E24:E27)</f>
        <v>1924454.5</v>
      </c>
      <c r="F28" s="117"/>
      <c r="G28" s="90"/>
      <c r="H28" s="81" t="s">
        <v>16</v>
      </c>
      <c r="I28" s="69">
        <v>3668314</v>
      </c>
      <c r="J28" s="32">
        <f>IF(J26="",1,0)+IF(J27="",1,0)+IF(J46="",1,0)+IF(J47="",1,0)</f>
        <v>1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>
        <v>210370</v>
      </c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/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/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0</v>
      </c>
      <c r="J34" s="90"/>
    </row>
    <row r="35" spans="2:10" ht="13.9" x14ac:dyDescent="0.4">
      <c r="B35" s="3" t="s">
        <v>70</v>
      </c>
      <c r="C35" s="60">
        <v>1184</v>
      </c>
      <c r="D35" s="61">
        <v>0.1</v>
      </c>
      <c r="E35" s="91">
        <f t="shared" si="5"/>
        <v>118.4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14627</v>
      </c>
      <c r="D36" s="61">
        <v>0.2</v>
      </c>
      <c r="E36" s="91">
        <f t="shared" si="5"/>
        <v>2925.4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41728</v>
      </c>
      <c r="D38" s="61">
        <v>0.1</v>
      </c>
      <c r="E38" s="91">
        <f>C38*D38</f>
        <v>4172.8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/>
      <c r="D40" s="61">
        <v>0.05</v>
      </c>
      <c r="E40" s="91">
        <f t="shared" si="5"/>
        <v>0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f>17+1644</f>
        <v>1661</v>
      </c>
      <c r="D41" s="61">
        <v>0.95</v>
      </c>
      <c r="E41" s="91">
        <f t="shared" si="5"/>
        <v>1577.9499999999998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107276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0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210370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1184</v>
      </c>
      <c r="D45" s="63">
        <f>IF(E45=0,0,E45/C45)</f>
        <v>0.1</v>
      </c>
      <c r="E45" s="91">
        <f>SUM(E32:E35)</f>
        <v>118.4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56355</v>
      </c>
      <c r="D46" s="63">
        <f t="shared" ref="D46:D47" si="6">IF(E46=0,0,E46/C46)</f>
        <v>0.12595510602431018</v>
      </c>
      <c r="E46" s="91">
        <f>E36+E37+E38+E39</f>
        <v>7098.2000000000007</v>
      </c>
      <c r="F46" s="90"/>
      <c r="G46" s="90"/>
      <c r="H46" s="23" t="s">
        <v>81</v>
      </c>
      <c r="I46" s="64">
        <f>(E44+E24)/E64</f>
        <v>0.34154637418888328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2">
        <f>C40+C41+C42</f>
        <v>108937</v>
      </c>
      <c r="D47" s="63">
        <f t="shared" si="6"/>
        <v>1.4484977555835022E-2</v>
      </c>
      <c r="E47" s="91">
        <f>E40+E41+E42</f>
        <v>1577.9499999999998</v>
      </c>
      <c r="F47" s="90"/>
      <c r="G47" s="90"/>
      <c r="H47" s="23" t="s">
        <v>83</v>
      </c>
      <c r="I47" s="64">
        <f>(E44+E45+E24+E25)/$I$49</f>
        <v>0.52464780823015689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376846</v>
      </c>
      <c r="D48" s="85">
        <f>E48/C48</f>
        <v>2.3337251821699049E-2</v>
      </c>
      <c r="E48" s="79">
        <f>SUM(E30:E42)</f>
        <v>8794.5499999999993</v>
      </c>
      <c r="F48" s="90"/>
      <c r="G48" s="90"/>
      <c r="H48" s="83" t="s">
        <v>85</v>
      </c>
      <c r="I48" s="86">
        <v>0</v>
      </c>
      <c r="J48" s="8"/>
    </row>
    <row r="49" spans="2:10" ht="15" customHeight="1" thickTop="1" x14ac:dyDescent="0.4">
      <c r="B49" s="3" t="s">
        <v>14</v>
      </c>
      <c r="C49" s="62">
        <f>C28+C48</f>
        <v>3998248</v>
      </c>
      <c r="D49" s="56">
        <f>E49/C49</f>
        <v>0.48352404603216209</v>
      </c>
      <c r="E49" s="91">
        <f>E28+E48</f>
        <v>1933249.05</v>
      </c>
      <c r="F49" s="90"/>
      <c r="G49" s="90"/>
      <c r="H49" s="3" t="s">
        <v>86</v>
      </c>
      <c r="I49" s="52">
        <f>I28+I48</f>
        <v>3668314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3361</v>
      </c>
      <c r="D53" s="29">
        <f>IF(E53=0, 0,E53/C53)</f>
        <v>1.2555792946230242</v>
      </c>
      <c r="E53" s="91">
        <f>MAX(C53,C53*Dashboard!G23)</f>
        <v>4220.0020092279847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9">
        <f>I15+I34</f>
        <v>3075698</v>
      </c>
      <c r="E56" s="220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8">
        <v>0</v>
      </c>
      <c r="E57" s="217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8">
        <v>0</v>
      </c>
      <c r="E58" s="217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1191506</v>
      </c>
      <c r="D61" s="56">
        <f t="shared" ref="D61:D70" si="7">IF(E61=0,0,E61/C61)</f>
        <v>0.29857365384647666</v>
      </c>
      <c r="E61" s="52">
        <f>E14+E15+(E19*G19)+(E20*G20)+E31+E32+(E35*G35)+(E36*G36)+(E37*G37)</f>
        <v>355752.30000000005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908155</v>
      </c>
      <c r="D62" s="112">
        <f t="shared" si="7"/>
        <v>0.7683545209793482</v>
      </c>
      <c r="E62" s="126">
        <f>E11+E30</f>
        <v>697785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2099661</v>
      </c>
      <c r="D63" s="29">
        <f t="shared" si="7"/>
        <v>0.50176542784763833</v>
      </c>
      <c r="E63" s="62">
        <f>E61+E62</f>
        <v>1053537.3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3075698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-976037</v>
      </c>
      <c r="D65" s="29">
        <f t="shared" si="7"/>
        <v>2.0718074212350555</v>
      </c>
      <c r="E65" s="62">
        <f>E63-E64</f>
        <v>-2022160.7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1898587</v>
      </c>
      <c r="D68" s="29">
        <f t="shared" si="7"/>
        <v>0.46335077086275211</v>
      </c>
      <c r="E68" s="71">
        <f>E49-E63</f>
        <v>879711.75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592616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1305971</v>
      </c>
      <c r="D70" s="29">
        <f t="shared" si="7"/>
        <v>0.21983317393724669</v>
      </c>
      <c r="E70" s="71">
        <f>E68-E69</f>
        <v>287095.75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4">
        <f>Data!C5</f>
        <v>45291</v>
      </c>
      <c r="D72" s="224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3" t="s">
        <v>103</v>
      </c>
      <c r="D73" s="223"/>
      <c r="E73" s="225" t="s">
        <v>104</v>
      </c>
      <c r="F73" s="223"/>
    </row>
    <row r="74" spans="1:9" ht="15" customHeight="1" x14ac:dyDescent="0.4">
      <c r="B74" s="3" t="s">
        <v>136</v>
      </c>
      <c r="C74" s="80">
        <f>Data!C6</f>
        <v>507009</v>
      </c>
      <c r="D74" s="181"/>
      <c r="E74" s="182">
        <f>C74</f>
        <v>507009</v>
      </c>
      <c r="F74" s="181"/>
    </row>
    <row r="75" spans="1:9" ht="15" customHeight="1" x14ac:dyDescent="0.4">
      <c r="B75" s="109" t="s">
        <v>109</v>
      </c>
      <c r="C75" s="80">
        <f>Data!C8</f>
        <v>4144</v>
      </c>
      <c r="D75" s="183">
        <f>C75/$C$74</f>
        <v>8.1734249293405042E-3</v>
      </c>
      <c r="E75" s="182">
        <f>D75*E74</f>
        <v>4144</v>
      </c>
      <c r="F75" s="184">
        <f>E75/$E$74</f>
        <v>8.1734249293405042E-3</v>
      </c>
    </row>
    <row r="76" spans="1:9" ht="15" customHeight="1" x14ac:dyDescent="0.4">
      <c r="B76" s="35" t="s">
        <v>96</v>
      </c>
      <c r="C76" s="185">
        <f>C74-C75</f>
        <v>502865</v>
      </c>
      <c r="D76" s="186"/>
      <c r="E76" s="187">
        <f>E74-E75</f>
        <v>502865</v>
      </c>
      <c r="F76" s="186"/>
    </row>
    <row r="77" spans="1:9" ht="15" customHeight="1" x14ac:dyDescent="0.4">
      <c r="B77" s="109" t="s">
        <v>133</v>
      </c>
      <c r="C77" s="80">
        <f>Data!C10-Data!C12</f>
        <v>100346</v>
      </c>
      <c r="D77" s="183">
        <f>C77/$C$74</f>
        <v>0.19791759120646774</v>
      </c>
      <c r="E77" s="182">
        <f>D77*E74</f>
        <v>100346</v>
      </c>
      <c r="F77" s="184">
        <f>E77/$E$74</f>
        <v>0.19791759120646774</v>
      </c>
    </row>
    <row r="78" spans="1:9" ht="15" customHeight="1" x14ac:dyDescent="0.4">
      <c r="B78" s="35" t="s">
        <v>97</v>
      </c>
      <c r="C78" s="185">
        <f>C76-C77</f>
        <v>402519</v>
      </c>
      <c r="D78" s="186"/>
      <c r="E78" s="187">
        <f>E76-E77</f>
        <v>402519</v>
      </c>
      <c r="F78" s="186"/>
    </row>
    <row r="79" spans="1:9" ht="15" customHeight="1" x14ac:dyDescent="0.4">
      <c r="B79" s="109" t="s">
        <v>129</v>
      </c>
      <c r="C79" s="80">
        <f>Data!C17</f>
        <v>295738</v>
      </c>
      <c r="D79" s="183">
        <f>C79/$C$74</f>
        <v>0.583299310268654</v>
      </c>
      <c r="E79" s="182">
        <f>C79</f>
        <v>295738</v>
      </c>
      <c r="F79" s="184">
        <f>E79/$E$74</f>
        <v>0.583299310268654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15210.269999999999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524</v>
      </c>
      <c r="D82" s="183">
        <f>C82/$C$74</f>
        <v>1.0335122256212414E-3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106257</v>
      </c>
      <c r="D83" s="189">
        <f>C83/$C$74</f>
        <v>0.2095761613699165</v>
      </c>
      <c r="E83" s="190">
        <f>E78-E79-E80-E81-E82</f>
        <v>91570.73</v>
      </c>
      <c r="F83" s="191">
        <f t="shared" si="8"/>
        <v>0.18060967359553776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79692.75</v>
      </c>
      <c r="D85" s="191">
        <f>C85/$C$74</f>
        <v>0.15718212102743739</v>
      </c>
      <c r="E85" s="196">
        <f>E83*(1-F84)</f>
        <v>68678.047500000001</v>
      </c>
      <c r="F85" s="191">
        <f>E85/$E$74</f>
        <v>0.1354572551966533</v>
      </c>
    </row>
    <row r="86" spans="1:8" ht="15" customHeight="1" x14ac:dyDescent="0.4">
      <c r="B86" s="90" t="s">
        <v>174</v>
      </c>
      <c r="C86" s="197">
        <f>C85*Data!C4/Common_Shares</f>
        <v>1.0731190948718767</v>
      </c>
      <c r="D86" s="181"/>
      <c r="E86" s="198">
        <f>E85*Data!C4/Common_Shares</f>
        <v>0.92479835581991776</v>
      </c>
      <c r="F86" s="181"/>
    </row>
    <row r="87" spans="1:8" ht="15" customHeight="1" x14ac:dyDescent="0.4">
      <c r="B87" s="89" t="s">
        <v>175</v>
      </c>
      <c r="C87" s="199">
        <f>0.375+0.182</f>
        <v>0.55699999999999994</v>
      </c>
      <c r="D87" s="191">
        <f>C87/C86</f>
        <v>0.51904770184571358</v>
      </c>
      <c r="E87" s="200">
        <v>0.375</v>
      </c>
      <c r="F87" s="191">
        <f>E87/E86</f>
        <v>0.4054938005026279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1" t="s">
        <v>170</v>
      </c>
      <c r="E90" s="221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2" t="s">
        <v>219</v>
      </c>
      <c r="E91" s="222"/>
      <c r="F91" s="29">
        <f>E86*Exchange_Rate/Dashboard!G3</f>
        <v>0.16578556824832844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23.706155913891354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1275676.8601766466</v>
      </c>
      <c r="D95" s="132">
        <f>PV(C92,D92,0,-F92)*Exchange_Rate</f>
        <v>17.177888798438513</v>
      </c>
      <c r="E95" s="132">
        <f>PV(15%,D92,0,-F92)*Exchange_Rate</f>
        <v>12.782829499713523</v>
      </c>
      <c r="H95" s="24"/>
    </row>
    <row r="96" spans="1:8" ht="15" customHeight="1" x14ac:dyDescent="0.4">
      <c r="B96" s="28" t="s">
        <v>157</v>
      </c>
      <c r="C96" s="95">
        <f>E53*Exchange_Rate</f>
        <v>4576.8609611092425</v>
      </c>
      <c r="D96" s="132">
        <f>C96*Data!$C$4/Common_Shares</f>
        <v>6.1630661408220669E-2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-2193162.0754399817</v>
      </c>
      <c r="D97" s="162">
        <f>C97*Data!$C$4/Common_Shares</f>
        <v>-29.532474425885411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-922062.0762244442</v>
      </c>
      <c r="D98" s="114">
        <f>MAX(C98*Data!$C$4/Common_Shares,0)</f>
        <v>0</v>
      </c>
      <c r="E98" s="114">
        <f>E95*Exchange_Rate-D96+D97</f>
        <v>-15.7303123256268</v>
      </c>
      <c r="F98" s="11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471929.63096832501</v>
      </c>
      <c r="D101" s="132">
        <f>E87/(C92-D100)*Exchange_Rate</f>
        <v>6.3548653852194548</v>
      </c>
      <c r="E101" s="114">
        <f>D101*(1-25%)</f>
        <v>4.7661490389145911</v>
      </c>
      <c r="F101" s="114">
        <f>D101*1.25</f>
        <v>7.9435817315243185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235964.81548416251</v>
      </c>
      <c r="D104" s="132">
        <f>(D98+D101)/2</f>
        <v>3.1774326926097274</v>
      </c>
      <c r="E104" s="114">
        <f>D104*(1-25%)</f>
        <v>2.3830745194572955</v>
      </c>
      <c r="F104" s="114">
        <f>D104*1.25</f>
        <v>3.9717908657621592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