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46F17E2-DA2D-47E1-AF93-D1A40A922C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14" i="3" l="1"/>
  <c r="I11" i="3"/>
  <c r="C30" i="3"/>
  <c r="C14" i="3"/>
  <c r="C12" i="3"/>
  <c r="D6" i="2"/>
  <c r="C6" i="2"/>
  <c r="E87" i="3"/>
  <c r="C87" i="3"/>
  <c r="C92" i="3" l="1"/>
  <c r="E7" i="2"/>
  <c r="E9" i="2"/>
  <c r="E11" i="2"/>
  <c r="E19" i="2"/>
  <c r="I19" i="2"/>
  <c r="H20" i="2" s="1"/>
  <c r="J19" i="2"/>
  <c r="I20" i="2" s="1"/>
  <c r="K19" i="2"/>
  <c r="J20" i="2" s="1"/>
  <c r="L19" i="2"/>
  <c r="K20" i="2" s="1"/>
  <c r="M19" i="2"/>
  <c r="L20" i="2" s="1"/>
  <c r="M20" i="2"/>
  <c r="D101" i="3" l="1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E13" i="2"/>
  <c r="E21" i="2" s="1"/>
  <c r="F9" i="2"/>
  <c r="G9" i="2"/>
  <c r="H9" i="2"/>
  <c r="I9" i="2"/>
  <c r="I13" i="2" s="1"/>
  <c r="I21" i="2" s="1"/>
  <c r="I40" i="2" s="1"/>
  <c r="J9" i="2"/>
  <c r="J13" i="2" s="1"/>
  <c r="K9" i="2"/>
  <c r="L9" i="2"/>
  <c r="M9" i="2"/>
  <c r="C9" i="2"/>
  <c r="C19" i="2" s="1"/>
  <c r="C43" i="2"/>
  <c r="D13" i="2" l="1"/>
  <c r="D21" i="2" s="1"/>
  <c r="D24" i="2" s="1"/>
  <c r="D19" i="2"/>
  <c r="D20" i="2" s="1"/>
  <c r="G13" i="2"/>
  <c r="G21" i="2" s="1"/>
  <c r="G19" i="2"/>
  <c r="G3" i="2"/>
  <c r="H13" i="2"/>
  <c r="H21" i="2" s="1"/>
  <c r="H48" i="2" s="1"/>
  <c r="H19" i="2"/>
  <c r="F13" i="2"/>
  <c r="F21" i="2" s="1"/>
  <c r="F19" i="2"/>
  <c r="E74" i="3"/>
  <c r="E80" i="3" s="1"/>
  <c r="J21" i="2"/>
  <c r="J40" i="2" s="1"/>
  <c r="I48" i="2"/>
  <c r="I24" i="2"/>
  <c r="H39" i="2"/>
  <c r="H40" i="2" s="1"/>
  <c r="H53" i="2"/>
  <c r="D77" i="3"/>
  <c r="D53" i="2"/>
  <c r="D39" i="2"/>
  <c r="D40" i="2" s="1"/>
  <c r="E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C28" i="3"/>
  <c r="C28" i="2" s="1"/>
  <c r="C20" i="2" l="1"/>
  <c r="E77" i="3"/>
  <c r="F77" i="3" s="1"/>
  <c r="C21" i="1" s="1"/>
  <c r="F3" i="2"/>
  <c r="G20" i="2"/>
  <c r="F4" i="2"/>
  <c r="H55" i="2"/>
  <c r="H24" i="2"/>
  <c r="H23" i="2" s="1"/>
  <c r="F20" i="2"/>
  <c r="E20" i="2"/>
  <c r="E75" i="3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G25" i="1" s="1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G23" i="1" s="1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<sst xmlns="http://schemas.openxmlformats.org/spreadsheetml/2006/main" count="261" uniqueCount="240">
  <si>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</si>
  <si>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</si>
  <si>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</si>
  <si>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</si>
  <si>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</si>
  <si>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</si>
  <si>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</si>
  <si>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</si>
  <si>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</si>
  <si>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</si>
  <si>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</si>
  <si>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</si>
  <si>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</si>
  <si>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</si>
  <si>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</si>
  <si>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</si>
  <si>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</si>
  <si>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</si>
  <si>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</si>
  <si>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</si>
  <si>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</si>
  <si>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</si>
  <si>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</si>
  <si>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</si>
  <si>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</si>
  <si>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</si>
  <si>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</si>
  <si>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</si>
  <si>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</si>
  <si>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</si>
  <si>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</si>
  <si>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</si>
  <si>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</si>
  <si>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</si>
  <si>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</si>
  <si>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</si>
  <si>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</si>
  <si>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</si>
  <si>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</si>
  <si>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</si>
  <si>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</si>
  <si>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</si>
  <si>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</si>
  <si>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</si>
  <si>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</si>
  <si>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</si>
  <si>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</si>
  <si>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</si>
  <si>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</si>
  <si>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</si>
  <si>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</si>
  <si>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</si>
  <si>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</si>
  <si>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</si>
  <si>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</si>
  <si>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</si>
  <si>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</si>
  <si>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</si>
  <si>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</si>
  <si>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</si>
  <si>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</si>
  <si>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</si>
  <si>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</si>
  <si>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</si>
  <si>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</si>
  <si>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</si>
  <si>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</si>
  <si>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</si>
  <si>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</si>
  <si>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</si>
  <si>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</si>
  <si>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</si>
  <si>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</si>
  <si>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</si>
  <si>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</si>
  <si>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</si>
  <si>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</si>
  <si>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</si>
  <si>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</si>
  <si>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</si>
  <si>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</si>
  <si>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</si>
  <si>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</si>
  <si>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</si>
  <si>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</si>
  <si>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</si>
  <si>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</si>
  <si>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</si>
  <si>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</si>
  <si>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</si>
  <si>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</si>
  <si>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</si>
  <si>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</si>
  <si>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</si>
  <si>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</si>
  <si>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</si>
  <si>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</si>
  <si>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</si>
  <si>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</si>
  <si>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</si>
  <si>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</si>
  <si>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</si>
  <si>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</si>
  <si>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</si>
  <si>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</si>
  <si>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</si>
  <si>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</si>
  <si>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</si>
  <si>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</si>
  <si>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</si>
  <si>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</si>
  <si>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</si>
  <si>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</si>
  <si>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</si>
  <si>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</si>
  <si>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</si>
  <si>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</si>
  <si>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</si>
  <si>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</si>
  <si>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</si>
  <si>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</si>
  <si>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</si>
  <si>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</si>
  <si>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</si>
  <si>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</si>
  <si>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</si>
  <si>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</si>
  <si>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</si>
  <si>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</si>
  <si>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</si>
  <si>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</si>
  <si>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</si>
  <si>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</si>
  <si>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</si>
  <si>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</si>
  <si>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</si>
  <si>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</si>
  <si>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</si>
  <si>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</si>
  <si>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</si>
  <si>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</si>
  <si>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</si>
  <si>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</si>
  <si>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</si>
  <si>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</si>
  <si>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</si>
  <si>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</si>
  <si>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</si>
  <si>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</si>
  <si>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</si>
  <si>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</si>
  <si>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</si>
  <si>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</si>
  <si>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</si>
  <si>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</si>
  <si>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</si>
  <si>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</si>
  <si>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</si>
  <si>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</si>
  <si>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</si>
  <si>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</si>
  <si>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</si>
  <si>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</si>
  <si>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</si>
  <si>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</si>
  <si>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</si>
  <si>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</si>
  <si>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</si>
  <si>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</si>
  <si>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</si>
  <si>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</si>
  <si>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</si>
  <si>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</si>
  <si>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</si>
  <si>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</si>
  <si>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</si>
  <si>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</si>
  <si>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</si>
  <si>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</si>
  <si>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</si>
  <si>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</si>
  <si>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</si>
  <si>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</si>
  <si>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</si>
  <si>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</si>
  <si>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</si>
  <si>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</si>
  <si>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</si>
  <si>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</si>
  <si>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</si>
  <si>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</si>
  <si>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</si>
  <si>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</si>
  <si>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</si>
  <si>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</si>
  <si>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</si>
  <si>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</si>
  <si>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</si>
  <si>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</si>
  <si>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</si>
  <si>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</si>
  <si>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</si>
  <si>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</si>
  <si>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</si>
  <si>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</si>
  <si>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</si>
  <si>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</si>
  <si>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</si>
  <si>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</si>
  <si>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</si>
  <si>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</si>
  <si>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</si>
  <si>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</si>
  <si>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</si>
  <si>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</si>
  <si>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</si>
  <si>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</si>
  <si>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</si>
  <si>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</si>
  <si>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</si>
  <si>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</si>
  <si>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</si>
  <si>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</si>
  <si>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</si>
  <si>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</si>
  <si>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</si>
  <si>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</si>
  <si>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</si>
  <si>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</si>
  <si>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</si>
  <si>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</si>
  <si>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</si>
  <si>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</si>
  <si>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</si>
  <si>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</si>
  <si>
    <t>3988.HK</t>
    <phoneticPr fontId="20" type="noConversion"/>
  </si>
  <si>
    <t>中国银行</t>
    <phoneticPr fontId="20" type="noConversion"/>
  </si>
  <si>
    <t>CNY</t>
  </si>
  <si>
    <t>C0014</t>
    <phoneticPr fontId="20" type="noConversion"/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</si>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</sst>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3" fontId="2" fillId="9" borderId="5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2" sqref="C12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2" t="s">
        <v>235</v>
      </c>
      <c r="D3" s="213"/>
      <c r="E3" s="90"/>
      <c r="F3" s="3" t="s">
        <v>1</v>
      </c>
      <c r="G3" s="142">
        <v>3.7699999809265137</v>
      </c>
      <c r="H3" s="144" t="s">
        <v>2</v>
      </c>
    </row>
    <row r="4" spans="1:10" ht="15.75" customHeight="1" x14ac:dyDescent="0.5">
      <c r="B4" s="35" t="s">
        <v>217</v>
      </c>
      <c r="C4" s="214" t="s">
        <v>236</v>
      </c>
      <c r="D4" s="215"/>
      <c r="E4" s="90"/>
      <c r="F4" s="3" t="s">
        <v>3</v>
      </c>
      <c r="G4" s="218">
        <v>294387791241</v>
      </c>
      <c r="H4" s="218"/>
      <c r="I4" s="39"/>
    </row>
    <row r="5" spans="1:10" ht="15.75" customHeight="1" x14ac:dyDescent="0.4">
      <c r="B5" s="3" t="s">
        <v>178</v>
      </c>
      <c r="C5" s="216">
        <v>45605</v>
      </c>
      <c r="D5" s="217"/>
      <c r="E5" s="34"/>
      <c r="F5" s="35" t="s">
        <v>102</v>
      </c>
      <c r="G5" s="210">
        <f>G3*G4/1000000</f>
        <v>1109841.9673635685</v>
      </c>
      <c r="H5" s="210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11" t="s">
        <v>237</v>
      </c>
      <c r="H6" s="211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238</v>
      </c>
      <c r="E7" s="90"/>
      <c r="F7" s="35" t="s">
        <v>6</v>
      </c>
      <c r="G7" s="143">
        <v>1.0845636924107869</v>
      </c>
      <c r="H7" s="74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8.4000000000000005E-2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2.1309999999999999E-2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8.8000000000000009E-2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1.1832950701880444E-2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0.19534620844359546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0.51024868123587042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0.36823179536786033</v>
      </c>
    </row>
    <row r="24" spans="1:8" ht="15.75" customHeight="1" x14ac:dyDescent="0.4">
      <c r="B24" s="147" t="s">
        <v>189</v>
      </c>
      <c r="C24" s="201">
        <f>Fin_Analysis!F81</f>
        <v>0</v>
      </c>
      <c r="F24" s="150" t="s">
        <v>194</v>
      </c>
      <c r="G24" s="208">
        <f>(Fin_Analysis!E86*G7)/G3</f>
        <v>0.21125647730859817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0.32192236688251608</v>
      </c>
    </row>
    <row r="26" spans="1:8" ht="15.75" customHeight="1" x14ac:dyDescent="0.4">
      <c r="B26" s="148" t="s">
        <v>191</v>
      </c>
      <c r="C26" s="201">
        <f>Fin_Analysis!F83</f>
        <v>0.25257215961865376</v>
      </c>
      <c r="F26" s="151" t="s">
        <v>215</v>
      </c>
      <c r="G26" s="208">
        <f>Fin_Analysis!E87*Exchange_Rate/G3</f>
        <v>6.8008185194446472E-2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2.827840333300478</v>
      </c>
      <c r="D29" s="139">
        <f>IF(Fin_Analysis!C106="Profit",Fin_Analysis!F98,IF(Fin_Analysis!C106="Dividend",Fin_Analysis!F101,Fin_Analysis!F104))</f>
        <v>4.7130672221674628</v>
      </c>
      <c r="E29" s="90"/>
      <c r="F29" s="141">
        <f>IF(Fin_Analysis!C106="Profit",Fin_Analysis!D98,IF(Fin_Analysis!C106="Dividend",Fin_Analysis!D101,Fin_Analysis!D104))</f>
        <v>3.7704537777339704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2" priority="4">
      <formula>LEN(TRIM(C11))=0</formula>
    </cfRule>
  </conditionalFormatting>
  <conditionalFormatting sqref="D12">
    <cfRule type="containsBlanks" dxfId="11" priority="2">
      <formula>LEN(TRIM(D12))=0</formula>
    </cfRule>
  </conditionalFormatting>
  <conditionalFormatting sqref="D17">
    <cfRule type="containsBlanks" dxfId="10" priority="1">
      <formula>LEN(TRIM(D17))=0</formula>
    </cfRule>
  </conditionalFormatting>
  <conditionalFormatting sqref="E28">
    <cfRule type="cellIs" dxfId="9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227</v>
      </c>
      <c r="F2" s="127" t="s">
        <v>230</v>
      </c>
      <c r="G2" s="166" t="s">
        <v>231</v>
      </c>
      <c r="H2" s="165" t="s">
        <v>232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45291</v>
      </c>
      <c r="E3" s="164" t="s">
        <v>228</v>
      </c>
      <c r="F3" s="88" t="str">
        <f>H19</f>
        <v/>
      </c>
      <c r="G3" s="88">
        <f>C19</f>
        <v>303187.66666666669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1000000</v>
      </c>
      <c r="D4" s="1" t="str">
        <f>Dashboard!G6</f>
        <v>CNY</v>
      </c>
      <c r="E4" s="164" t="s">
        <v>229</v>
      </c>
      <c r="F4" s="97" t="e">
        <f>(G3/F3)^(1/H3)-1</f>
        <v>#VALUE!</v>
      </c>
      <c r="J4" s="90"/>
    </row>
    <row r="5" spans="1:14" ht="15.75" customHeight="1" x14ac:dyDescent="0.4">
      <c r="A5" s="16"/>
      <c r="B5" s="123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8" t="s">
        <v>12</v>
      </c>
      <c r="C6" s="209">
        <f>1048851+92369</f>
        <v>1141220</v>
      </c>
      <c r="D6" s="209">
        <f>880848+87102</f>
        <v>967950</v>
      </c>
      <c r="E6" s="169"/>
      <c r="F6" s="169"/>
      <c r="G6" s="169"/>
      <c r="H6" s="169"/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0.17900718012294026</v>
      </c>
      <c r="D7" s="96" t="str">
        <f t="shared" si="1"/>
        <v/>
      </c>
      <c r="E7" s="96" t="str">
        <f t="shared" si="1"/>
        <v/>
      </c>
      <c r="F7" s="96" t="str">
        <f t="shared" si="1"/>
        <v/>
      </c>
      <c r="G7" s="96" t="str">
        <f t="shared" si="1"/>
        <v/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88">
        <v>13504</v>
      </c>
      <c r="D8" s="88">
        <v>12212</v>
      </c>
      <c r="E8" s="170"/>
      <c r="F8" s="170"/>
      <c r="G8" s="170"/>
      <c r="H8" s="170"/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1127716</v>
      </c>
      <c r="D9" s="171">
        <f t="shared" si="2"/>
        <v>955738</v>
      </c>
      <c r="E9" s="171" t="str">
        <f t="shared" si="2"/>
        <v/>
      </c>
      <c r="F9" s="171" t="str">
        <f t="shared" si="2"/>
        <v/>
      </c>
      <c r="G9" s="171" t="str">
        <f t="shared" si="2"/>
        <v/>
      </c>
      <c r="H9" s="171" t="str">
        <f t="shared" si="2"/>
        <v/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88">
        <v>222933</v>
      </c>
      <c r="D10" s="88">
        <v>199506</v>
      </c>
      <c r="E10" s="170"/>
      <c r="F10" s="170"/>
      <c r="G10" s="170"/>
      <c r="H10" s="170"/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0</v>
      </c>
      <c r="D11" s="172">
        <f t="shared" si="3"/>
        <v>0</v>
      </c>
      <c r="E11" s="172" t="str">
        <f t="shared" si="3"/>
        <v/>
      </c>
      <c r="F11" s="172" t="str">
        <f t="shared" si="3"/>
        <v/>
      </c>
      <c r="G11" s="172" t="str">
        <f t="shared" si="3"/>
        <v/>
      </c>
      <c r="H11" s="172" t="str">
        <f t="shared" si="3"/>
        <v/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904783</v>
      </c>
      <c r="D13" s="171">
        <f t="shared" ref="D13:M13" si="4">IF(D6="","",(D9-D10+D12))</f>
        <v>756232</v>
      </c>
      <c r="E13" s="171" t="str">
        <f t="shared" si="4"/>
        <v/>
      </c>
      <c r="F13" s="171" t="str">
        <f t="shared" si="4"/>
        <v/>
      </c>
      <c r="G13" s="171" t="str">
        <f t="shared" si="4"/>
        <v/>
      </c>
      <c r="H13" s="171" t="str">
        <f t="shared" si="4"/>
        <v/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88">
        <v>582306</v>
      </c>
      <c r="D17" s="88">
        <v>421582</v>
      </c>
      <c r="E17" s="170"/>
      <c r="F17" s="170"/>
      <c r="G17" s="170"/>
      <c r="H17" s="170"/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88">
        <v>14467</v>
      </c>
      <c r="D18" s="88">
        <v>10203</v>
      </c>
      <c r="E18" s="170"/>
      <c r="F18" s="170"/>
      <c r="G18" s="170"/>
      <c r="H18" s="170"/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225</v>
      </c>
      <c r="C19" s="80">
        <f>IF(C6="","",C9-C10-C17-MAX(C18/(1-Fin_Analysis!$F$84),0))</f>
        <v>303187.66666666669</v>
      </c>
      <c r="D19" s="80">
        <f>IF(D6="","",D9-D10-D17-MAX(D18/(1-Fin_Analysis!$F$84),0))</f>
        <v>321046</v>
      </c>
      <c r="E19" s="80" t="str">
        <f>IF(E6="","",E9-E10-E17-MAX(E18/(1-Fin_Analysis!$F$84),0))</f>
        <v/>
      </c>
      <c r="F19" s="80" t="str">
        <f>IF(F6="","",F9-F10-F17-MAX(F18/(1-Fin_Analysis!$F$84),0))</f>
        <v/>
      </c>
      <c r="G19" s="80" t="str">
        <f>IF(G6="","",G9-G10-G17-MAX(G18/(1-Fin_Analysis!$F$84),0))</f>
        <v/>
      </c>
      <c r="H19" s="80" t="str">
        <f>IF(H6="","",H9-H10-H17-MAX(H18/(1-Fin_Analysis!$F$84),0))</f>
        <v/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226</v>
      </c>
      <c r="C20" s="173">
        <f>IF(D19="","",IF(ABS(C19+D19)=ABS(C19)+ABS(D19),IF(C19&lt;0,-1,1)*(C19-D19)/D19,"Turn"))</f>
        <v>-5.5625465924924511E-2</v>
      </c>
      <c r="D20" s="173" t="str">
        <f t="shared" ref="D20:M20" si="5">IF(E19="","",IF(ABS(D19+E19)=ABS(D19)+ABS(E19),IF(D19&lt;0,-1,1)*(D19-E19)/E19,"Turn"))</f>
        <v/>
      </c>
      <c r="E20" s="173" t="str">
        <f t="shared" si="5"/>
        <v/>
      </c>
      <c r="F20" s="173" t="str">
        <f t="shared" si="5"/>
        <v/>
      </c>
      <c r="G20" s="173" t="str">
        <f t="shared" si="5"/>
        <v/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303187.66666666669</v>
      </c>
      <c r="D21" s="80">
        <f>IF(D6="","",D13-D14-MAX(D15,0)-MAX(D16,0)-D17-MAX(D18/(1-Fin_Analysis!$F$84),0))</f>
        <v>321046</v>
      </c>
      <c r="E21" s="80" t="str">
        <f>IF(E6="","",E13-E14-MAX(E15,0)-MAX(E16,0)-E17-MAX(E18/(1-Fin_Analysis!$F$84),0))</f>
        <v/>
      </c>
      <c r="F21" s="80" t="str">
        <f>IF(F6="","",F13-F14-MAX(F15,0)-MAX(F16,0)-F17-MAX(F18/(1-Fin_Analysis!$F$84),0))</f>
        <v/>
      </c>
      <c r="G21" s="80" t="str">
        <f>IF(G6="","",G13-G14-MAX(G15,0)-MAX(G16,0)-G17-MAX(G18/(1-Fin_Analysis!$F$84),0))</f>
        <v/>
      </c>
      <c r="H21" s="80" t="str">
        <f>IF(H6="","",H13-H14-MAX(H15,0)-MAX(H16,0)-H17-MAX(H18/(1-Fin_Analysis!$F$84),0))</f>
        <v/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-5.5625465924924511E-2</v>
      </c>
      <c r="D22" s="173" t="str">
        <f t="shared" ref="D22:M22" si="6">IF(E21="","",IF(ABS(D21+E21)=ABS(D21)+ABS(E21),IF(D21&lt;0,-1,1)*(D21-E21)/E21,"Turn"))</f>
        <v/>
      </c>
      <c r="E22" s="173" t="str">
        <f t="shared" si="6"/>
        <v/>
      </c>
      <c r="F22" s="173" t="str">
        <f t="shared" si="6"/>
        <v/>
      </c>
      <c r="G22" s="173" t="str">
        <f t="shared" si="6"/>
        <v/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0.19925233522020294</v>
      </c>
      <c r="D23" s="174">
        <f t="shared" si="7"/>
        <v>0.24875716720905006</v>
      </c>
      <c r="E23" s="174" t="str">
        <f t="shared" si="7"/>
        <v/>
      </c>
      <c r="F23" s="174" t="str">
        <f t="shared" si="7"/>
        <v/>
      </c>
      <c r="G23" s="174" t="str">
        <f t="shared" si="7"/>
        <v/>
      </c>
      <c r="H23" s="174" t="str">
        <f t="shared" si="7"/>
        <v/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227390.75</v>
      </c>
      <c r="D24" s="80">
        <f>IF(D6="","",D21*(1-Fin_Analysis!$F$84))</f>
        <v>240784.5</v>
      </c>
      <c r="E24" s="80" t="str">
        <f>IF(E6="","",E21*(1-Fin_Analysis!$F$84))</f>
        <v/>
      </c>
      <c r="F24" s="80" t="str">
        <f>IF(F6="","",F21*(1-Fin_Analysis!$F$84))</f>
        <v/>
      </c>
      <c r="G24" s="80" t="str">
        <f>IF(G6="","",G21*(1-Fin_Analysis!$F$84))</f>
        <v/>
      </c>
      <c r="H24" s="80" t="str">
        <f>IF(H6="","",H21*(1-Fin_Analysis!$F$84))</f>
        <v/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-5.5625465924924566E-2</v>
      </c>
      <c r="D25" s="176" t="str">
        <f t="shared" ref="D25:M25" si="8">IF(E24="","",IF(ABS(D24+E24)=ABS(D24)+ABS(E24),IF(D24&lt;0,-1,1)*(D24-E24)/E24,"Turn"))</f>
        <v/>
      </c>
      <c r="E25" s="176" t="str">
        <f t="shared" si="8"/>
        <v/>
      </c>
      <c r="F25" s="176" t="str">
        <f t="shared" si="8"/>
        <v/>
      </c>
      <c r="G25" s="176" t="str">
        <f t="shared" si="8"/>
        <v/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33907267</v>
      </c>
      <c r="D27" s="66">
        <f t="shared" si="18"/>
        <v>0</v>
      </c>
      <c r="E27" s="66" t="str">
        <f t="shared" si="18"/>
        <v/>
      </c>
      <c r="F27" s="66" t="str">
        <f t="shared" si="18"/>
        <v/>
      </c>
      <c r="G27" s="66" t="str">
        <f t="shared" si="18"/>
        <v/>
      </c>
      <c r="H27" s="66" t="str">
        <f t="shared" si="18"/>
        <v/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12326183</v>
      </c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0</v>
      </c>
      <c r="D29" s="170"/>
      <c r="E29" s="170"/>
      <c r="F29" s="170"/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0</v>
      </c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31128291</v>
      </c>
      <c r="D31" s="170"/>
      <c r="E31" s="170"/>
      <c r="F31" s="170"/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0</v>
      </c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30440709</v>
      </c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0</v>
      </c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30440709</v>
      </c>
      <c r="D35" s="80">
        <f t="shared" si="19"/>
        <v>0</v>
      </c>
      <c r="E35" s="80" t="str">
        <f t="shared" si="19"/>
        <v/>
      </c>
      <c r="F35" s="80" t="str">
        <f t="shared" si="19"/>
        <v/>
      </c>
      <c r="G35" s="80" t="str">
        <f t="shared" si="19"/>
        <v/>
      </c>
      <c r="H35" s="80" t="str">
        <f t="shared" si="19"/>
        <v/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2778976</v>
      </c>
      <c r="D36" s="170"/>
      <c r="E36" s="170"/>
      <c r="F36" s="170"/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130155</v>
      </c>
      <c r="D37" s="170"/>
      <c r="E37" s="170"/>
      <c r="F37" s="170"/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29246625</v>
      </c>
      <c r="D38" s="170"/>
      <c r="E38" s="170"/>
      <c r="F38" s="170"/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4660642</v>
      </c>
      <c r="D39" s="66">
        <f t="shared" ref="D39:M39" si="20">IF(D6="","",D27-D38)</f>
        <v>0</v>
      </c>
      <c r="E39" s="66" t="str">
        <f t="shared" si="20"/>
        <v/>
      </c>
      <c r="F39" s="66" t="str">
        <f t="shared" si="20"/>
        <v/>
      </c>
      <c r="G39" s="66" t="str">
        <f t="shared" si="20"/>
        <v/>
      </c>
      <c r="H39" s="66" t="str">
        <f t="shared" si="20"/>
        <v/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6.5052768838856675E-2</v>
      </c>
      <c r="D40" s="177" t="e">
        <f t="shared" si="21"/>
        <v>#DIV/0!</v>
      </c>
      <c r="E40" s="177" t="str">
        <f t="shared" si="21"/>
        <v/>
      </c>
      <c r="F40" s="177" t="str">
        <f t="shared" si="21"/>
        <v/>
      </c>
      <c r="G40" s="177" t="str">
        <f t="shared" si="21"/>
        <v/>
      </c>
      <c r="H40" s="177" t="str">
        <f t="shared" si="21"/>
        <v/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1.1832950701880444E-2</v>
      </c>
      <c r="D42" s="178">
        <f t="shared" si="22"/>
        <v>1.2616354150524305E-2</v>
      </c>
      <c r="E42" s="178" t="str">
        <f t="shared" si="22"/>
        <v/>
      </c>
      <c r="F42" s="178" t="str">
        <f t="shared" si="22"/>
        <v/>
      </c>
      <c r="G42" s="178" t="str">
        <f t="shared" si="22"/>
        <v/>
      </c>
      <c r="H42" s="178" t="str">
        <f t="shared" si="22"/>
        <v/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0.19534620844359546</v>
      </c>
      <c r="D43" s="174">
        <f t="shared" si="23"/>
        <v>0.20611188594452193</v>
      </c>
      <c r="E43" s="174" t="str">
        <f t="shared" si="23"/>
        <v/>
      </c>
      <c r="F43" s="174" t="str">
        <f t="shared" si="23"/>
        <v/>
      </c>
      <c r="G43" s="174" t="str">
        <f t="shared" si="23"/>
        <v/>
      </c>
      <c r="H43" s="174" t="str">
        <f t="shared" si="23"/>
        <v/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0</v>
      </c>
      <c r="D44" s="174">
        <f t="shared" si="24"/>
        <v>0</v>
      </c>
      <c r="E44" s="174" t="str">
        <f t="shared" si="24"/>
        <v/>
      </c>
      <c r="F44" s="174" t="str">
        <f t="shared" si="24"/>
        <v/>
      </c>
      <c r="G44" s="174" t="str">
        <f t="shared" si="24"/>
        <v/>
      </c>
      <c r="H44" s="174" t="str">
        <f t="shared" si="24"/>
        <v/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0</v>
      </c>
      <c r="D45" s="174">
        <f t="shared" si="25"/>
        <v>0</v>
      </c>
      <c r="E45" s="174" t="str">
        <f t="shared" si="25"/>
        <v/>
      </c>
      <c r="F45" s="174" t="str">
        <f t="shared" si="25"/>
        <v/>
      </c>
      <c r="G45" s="174" t="str">
        <f t="shared" si="25"/>
        <v/>
      </c>
      <c r="H45" s="174" t="str">
        <f t="shared" si="25"/>
        <v/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0.51024868123587042</v>
      </c>
      <c r="D46" s="174">
        <f t="shared" si="26"/>
        <v>0.43554109199855362</v>
      </c>
      <c r="E46" s="174" t="str">
        <f t="shared" si="26"/>
        <v/>
      </c>
      <c r="F46" s="174" t="str">
        <f t="shared" si="26"/>
        <v/>
      </c>
      <c r="G46" s="174" t="str">
        <f t="shared" si="26"/>
        <v/>
      </c>
      <c r="H46" s="174" t="str">
        <f t="shared" si="26"/>
        <v/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1.6902379325049798E-2</v>
      </c>
      <c r="D47" s="174">
        <f>IF(D6="","",MAX(D18,0)/(1-Fin_Analysis!$F$84)/D6)</f>
        <v>1.4054444961000051E-2</v>
      </c>
      <c r="E47" s="174" t="str">
        <f>IF(E6="","",MAX(E18,0)/(1-Fin_Analysis!$F$84)/E6)</f>
        <v/>
      </c>
      <c r="F47" s="174" t="str">
        <f>IF(F6="","",MAX(F18,0)/(1-Fin_Analysis!$F$84)/F6)</f>
        <v/>
      </c>
      <c r="G47" s="174" t="str">
        <f>IF(G6="","",MAX(G18,0)/(1-Fin_Analysis!$F$84)/G6)</f>
        <v/>
      </c>
      <c r="H47" s="174" t="str">
        <f>IF(H6="","",MAX(H18,0)/(1-Fin_Analysis!$F$84)/H6)</f>
        <v/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0.26566978029360394</v>
      </c>
      <c r="D48" s="174">
        <f t="shared" si="27"/>
        <v>0.33167622294540006</v>
      </c>
      <c r="E48" s="174" t="str">
        <f t="shared" si="27"/>
        <v/>
      </c>
      <c r="F48" s="174" t="str">
        <f t="shared" si="27"/>
        <v/>
      </c>
      <c r="G48" s="174" t="str">
        <f t="shared" si="27"/>
        <v/>
      </c>
      <c r="H48" s="174" t="str">
        <f t="shared" si="27"/>
        <v/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0</v>
      </c>
      <c r="D50" s="178">
        <f t="shared" si="28"/>
        <v>0</v>
      </c>
      <c r="E50" s="178" t="str">
        <f t="shared" si="28"/>
        <v/>
      </c>
      <c r="F50" s="178" t="str">
        <f t="shared" si="28"/>
        <v/>
      </c>
      <c r="G50" s="178" t="str">
        <f t="shared" si="28"/>
        <v/>
      </c>
      <c r="H50" s="178" t="str">
        <f t="shared" si="28"/>
        <v/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</v>
      </c>
      <c r="D51" s="174">
        <f t="shared" si="29"/>
        <v>0</v>
      </c>
      <c r="E51" s="174" t="str">
        <f t="shared" si="29"/>
        <v/>
      </c>
      <c r="F51" s="174" t="str">
        <f t="shared" si="29"/>
        <v/>
      </c>
      <c r="G51" s="174" t="str">
        <f t="shared" si="29"/>
        <v/>
      </c>
      <c r="H51" s="174" t="str">
        <f t="shared" si="29"/>
        <v/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0.91804187580202201</v>
      </c>
      <c r="D53" s="178" t="str">
        <f t="shared" ref="D53:M53" si="30">IF(D36="","",(D27-D36)/D27)</f>
        <v/>
      </c>
      <c r="E53" s="178" t="str">
        <f t="shared" si="30"/>
        <v/>
      </c>
      <c r="F53" s="178" t="str">
        <f t="shared" si="30"/>
        <v/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9.9599410337869159E-3</v>
      </c>
      <c r="D54" s="179" t="str">
        <f t="shared" si="31"/>
        <v>-</v>
      </c>
      <c r="E54" s="179" t="str">
        <f t="shared" si="31"/>
        <v/>
      </c>
      <c r="F54" s="179" t="str">
        <f t="shared" si="31"/>
        <v/>
      </c>
      <c r="G54" s="179" t="str">
        <f t="shared" si="31"/>
        <v/>
      </c>
      <c r="H54" s="179" t="str">
        <f t="shared" si="31"/>
        <v/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1.9206124259671951</v>
      </c>
      <c r="D55" s="174">
        <f t="shared" si="32"/>
        <v>1.3131513864056865</v>
      </c>
      <c r="E55" s="174" t="str">
        <f t="shared" si="32"/>
        <v/>
      </c>
      <c r="F55" s="174" t="str">
        <f t="shared" si="32"/>
        <v/>
      </c>
      <c r="G55" s="174" t="str">
        <f t="shared" si="32"/>
        <v/>
      </c>
      <c r="H55" s="174" t="str">
        <f t="shared" si="32"/>
        <v/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0.39598007484574083</v>
      </c>
      <c r="D56" s="180" t="str">
        <f t="shared" si="33"/>
        <v/>
      </c>
      <c r="E56" s="180" t="str">
        <f t="shared" si="33"/>
        <v/>
      </c>
      <c r="F56" s="180" t="str">
        <f t="shared" si="33"/>
        <v/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8" priority="1">
      <formula>LEN(TRIM(C6))=0</formula>
    </cfRule>
  </conditionalFormatting>
  <conditionalFormatting sqref="C25:M25">
    <cfRule type="containsBlanks" dxfId="7" priority="7">
      <formula>LEN(TRIM(C25))=0</formula>
    </cfRule>
  </conditionalFormatting>
  <conditionalFormatting sqref="C27:M40">
    <cfRule type="containsBlanks" dxfId="6" priority="8">
      <formula>LEN(TRIM(C27))=0</formula>
    </cfRule>
  </conditionalFormatting>
  <conditionalFormatting sqref="D24:M24">
    <cfRule type="containsBlanks" dxfId="5" priority="6">
      <formula>LEN(TRIM(D24))=0</formula>
    </cfRule>
  </conditionalFormatting>
  <conditionalFormatting sqref="F4">
    <cfRule type="containsBlanks" dxfId="4" priority="5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zoomScaleNormal="100" workbookViewId="0">
      <selection activeCell="D10" sqref="D1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2778976</v>
      </c>
      <c r="E3" s="70" t="str">
        <f>IF((C49-I49)=D3,"", "Error!")</f>
        <v/>
      </c>
      <c r="F3" s="90"/>
      <c r="G3" s="90"/>
      <c r="H3" s="47" t="s">
        <v>24</v>
      </c>
      <c r="I3" s="57">
        <v>2648821</v>
      </c>
      <c r="K3" s="24"/>
    </row>
    <row r="4" spans="1:11" ht="15" customHeight="1" x14ac:dyDescent="0.4">
      <c r="B4" s="3" t="s">
        <v>25</v>
      </c>
      <c r="C4" s="90"/>
      <c r="D4" s="66">
        <f>D3-I3</f>
        <v>130155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0.39598007484574083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-27227599.221485384</v>
      </c>
      <c r="E6" s="56">
        <f>1-D6/D3</f>
        <v>10.797709379816661</v>
      </c>
      <c r="F6" s="90"/>
      <c r="G6" s="90"/>
      <c r="H6" s="1" t="s">
        <v>30</v>
      </c>
      <c r="I6" s="64">
        <f>(C24+C25)/I28</f>
        <v>0.39598007484574083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0</v>
      </c>
      <c r="E7" s="11" t="str">
        <f>Dashboard!H3</f>
        <v>HKD</v>
      </c>
      <c r="H7" s="1" t="s">
        <v>31</v>
      </c>
      <c r="I7" s="64">
        <f>C24/I28</f>
        <v>0.28662456927044277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45473</v>
      </c>
      <c r="E9" s="127" t="str">
        <f>IF(MONTH(D9)=MONTH(Data!C3),"FY","Quarter")</f>
        <v>Quarter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819933</v>
      </c>
      <c r="D11" s="61">
        <v>1</v>
      </c>
      <c r="E11" s="91">
        <f t="shared" ref="E11:E21" si="0">C11*D11</f>
        <v>819933</v>
      </c>
      <c r="F11" s="117"/>
      <c r="G11" s="90"/>
      <c r="H11" s="3" t="s">
        <v>39</v>
      </c>
      <c r="I11" s="60">
        <f>2783117+1022307+530706+23630706+39069</f>
        <v>28005905</v>
      </c>
      <c r="J11" s="90"/>
      <c r="K11" s="24"/>
    </row>
    <row r="12" spans="1:11" ht="13.9" x14ac:dyDescent="0.4">
      <c r="B12" s="1" t="s">
        <v>148</v>
      </c>
      <c r="C12" s="60">
        <f>2473536+1477226</f>
        <v>3950762</v>
      </c>
      <c r="D12" s="61">
        <v>0.95</v>
      </c>
      <c r="E12" s="91">
        <f t="shared" si="0"/>
        <v>3753223.9</v>
      </c>
      <c r="F12" s="117"/>
      <c r="G12" s="90"/>
      <c r="H12" s="3" t="s">
        <v>40</v>
      </c>
      <c r="I12" s="60"/>
      <c r="J12" s="90"/>
      <c r="K12" s="24"/>
    </row>
    <row r="13" spans="1:11" ht="13.9" x14ac:dyDescent="0.4">
      <c r="B13" s="3" t="s">
        <v>121</v>
      </c>
      <c r="C13" s="60"/>
      <c r="D13" s="61">
        <v>0.8</v>
      </c>
      <c r="E13" s="91">
        <f t="shared" si="0"/>
        <v>0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>
        <f>585400+3566038</f>
        <v>4151438</v>
      </c>
      <c r="D14" s="61">
        <v>0.3</v>
      </c>
      <c r="E14" s="91">
        <f>C14*D14</f>
        <v>1245431.3999999999</v>
      </c>
      <c r="F14" s="117"/>
      <c r="G14" s="90"/>
      <c r="H14" s="89" t="s">
        <v>43</v>
      </c>
      <c r="I14" s="128">
        <f>202312+35728+132314+2064450</f>
        <v>2434804</v>
      </c>
      <c r="J14" s="90"/>
      <c r="K14" s="27"/>
    </row>
    <row r="15" spans="1:11" ht="13.9" x14ac:dyDescent="0.4">
      <c r="B15" s="3" t="s">
        <v>44</v>
      </c>
      <c r="C15" s="60">
        <v>3255468</v>
      </c>
      <c r="D15" s="61">
        <v>0.05</v>
      </c>
      <c r="E15" s="91">
        <f>C15*D15</f>
        <v>162773.40000000002</v>
      </c>
      <c r="F15" s="117"/>
      <c r="G15" s="90"/>
      <c r="H15" s="1" t="s">
        <v>54</v>
      </c>
      <c r="I15" s="87">
        <f>SUM(I11:I14)</f>
        <v>30440709</v>
      </c>
      <c r="J15" s="90"/>
    </row>
    <row r="16" spans="1:11" ht="13.9" x14ac:dyDescent="0.4">
      <c r="B16" s="1" t="s">
        <v>172</v>
      </c>
      <c r="C16" s="60">
        <v>148582</v>
      </c>
      <c r="D16" s="61">
        <v>0.5</v>
      </c>
      <c r="E16" s="91">
        <f t="shared" si="0"/>
        <v>74291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/>
      <c r="D17" s="61">
        <v>0.1</v>
      </c>
      <c r="E17" s="91">
        <f t="shared" si="0"/>
        <v>0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/>
      <c r="D18" s="61">
        <v>0.5</v>
      </c>
      <c r="E18" s="91">
        <f t="shared" si="0"/>
        <v>0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/>
      <c r="D21" s="61">
        <v>0.95</v>
      </c>
      <c r="E21" s="91">
        <f t="shared" si="0"/>
        <v>0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687582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8922133</v>
      </c>
      <c r="D24" s="63">
        <f>IF(E24=0,0,E24/C24)</f>
        <v>0.6521521591305578</v>
      </c>
      <c r="E24" s="91">
        <f>SUM(E11:E14)</f>
        <v>5818588.3000000007</v>
      </c>
      <c r="F24" s="119">
        <f>E24/$E$28</f>
        <v>0.96085237847276139</v>
      </c>
      <c r="G24" s="90"/>
    </row>
    <row r="25" spans="2:10" ht="15" customHeight="1" x14ac:dyDescent="0.4">
      <c r="B25" s="23" t="s">
        <v>55</v>
      </c>
      <c r="C25" s="62">
        <f>SUM(C15:C17)</f>
        <v>3404050</v>
      </c>
      <c r="D25" s="63">
        <f>IF(E25=0,0,E25/C25)</f>
        <v>6.964186777515019E-2</v>
      </c>
      <c r="E25" s="91">
        <f>SUM(E15:E17)</f>
        <v>237064.40000000002</v>
      </c>
      <c r="F25" s="119">
        <f t="shared" ref="F25:F27" si="2">E25/$E$28</f>
        <v>3.9147621527238503E-2</v>
      </c>
      <c r="G25" s="90"/>
      <c r="H25" s="23" t="s">
        <v>56</v>
      </c>
      <c r="I25" s="64">
        <f>E28/I28</f>
        <v>0.19453855336934497</v>
      </c>
    </row>
    <row r="26" spans="2:10" ht="15" customHeight="1" x14ac:dyDescent="0.4">
      <c r="B26" s="23" t="s">
        <v>57</v>
      </c>
      <c r="C26" s="62">
        <f>C18+C19+C20</f>
        <v>0</v>
      </c>
      <c r="D26" s="63">
        <f t="shared" ref="D26:D27" si="3">IF(E26=0,0,E26/C26)</f>
        <v>0</v>
      </c>
      <c r="E26" s="91">
        <f>E18+E19+E20</f>
        <v>0</v>
      </c>
      <c r="F26" s="119">
        <f t="shared" si="2"/>
        <v>0</v>
      </c>
      <c r="G26" s="90"/>
      <c r="H26" s="23" t="s">
        <v>58</v>
      </c>
      <c r="I26" s="64">
        <f>E24/($I$28-I22)</f>
        <v>0.19114496643294349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80">
        <f>C21+C22</f>
        <v>0</v>
      </c>
      <c r="D27" s="63">
        <f t="shared" si="3"/>
        <v>0</v>
      </c>
      <c r="E27" s="91">
        <f>E21+E22</f>
        <v>0</v>
      </c>
      <c r="F27" s="119">
        <f t="shared" si="2"/>
        <v>0</v>
      </c>
      <c r="G27" s="90"/>
      <c r="H27" s="23" t="s">
        <v>60</v>
      </c>
      <c r="I27" s="64">
        <f>(E25+E24)/$I$28</f>
        <v>0.19453855336934497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12326183</v>
      </c>
      <c r="D28" s="58">
        <f t="shared" ref="D28" si="4">E28/C28</f>
        <v>0.49128369260784144</v>
      </c>
      <c r="E28" s="73">
        <f>SUM(E24:E27)</f>
        <v>6055652.7000000011</v>
      </c>
      <c r="F28" s="117"/>
      <c r="G28" s="90"/>
      <c r="H28" s="81" t="s">
        <v>16</v>
      </c>
      <c r="I28" s="69">
        <v>31128291</v>
      </c>
      <c r="J28" s="32">
        <f>IF(J26="",1,0)+IF(J27="",1,0)+IF(J46="",1,0)+IF(J47="",1,0)</f>
        <v>0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>
        <f>202449+138619+20616140</f>
        <v>20957208</v>
      </c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/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/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0</v>
      </c>
      <c r="J34" s="90"/>
    </row>
    <row r="35" spans="2:10" ht="13.9" x14ac:dyDescent="0.4">
      <c r="B35" s="3" t="s">
        <v>70</v>
      </c>
      <c r="C35" s="60">
        <v>39804</v>
      </c>
      <c r="D35" s="61">
        <v>0.1</v>
      </c>
      <c r="E35" s="91">
        <f t="shared" si="5"/>
        <v>3980.4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22774</v>
      </c>
      <c r="D36" s="61">
        <v>0.2</v>
      </c>
      <c r="E36" s="91">
        <f t="shared" si="5"/>
        <v>4554.8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>
        <v>19289</v>
      </c>
      <c r="D37" s="61">
        <v>0.05</v>
      </c>
      <c r="E37" s="91">
        <f>C37*D37</f>
        <v>964.45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221008</v>
      </c>
      <c r="D38" s="61">
        <v>0.1</v>
      </c>
      <c r="E38" s="91">
        <f>C38*D38</f>
        <v>22100.800000000003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/>
      <c r="D40" s="61">
        <v>0.05</v>
      </c>
      <c r="E40" s="91">
        <f t="shared" si="5"/>
        <v>0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70038</v>
      </c>
      <c r="D41" s="61">
        <v>0.95</v>
      </c>
      <c r="E41" s="91">
        <f t="shared" si="5"/>
        <v>66536.099999999991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250963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0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20957208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39804</v>
      </c>
      <c r="D45" s="63">
        <f>IF(E45=0,0,E45/C45)</f>
        <v>0.1</v>
      </c>
      <c r="E45" s="91">
        <f>SUM(E32:E35)</f>
        <v>3980.4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263071</v>
      </c>
      <c r="D46" s="63">
        <f t="shared" ref="D46:D47" si="6">IF(E46=0,0,E46/C46)</f>
        <v>0.10499085798130543</v>
      </c>
      <c r="E46" s="91">
        <f>E36+E37+E38+E39</f>
        <v>27620.050000000003</v>
      </c>
      <c r="F46" s="90"/>
      <c r="G46" s="90"/>
      <c r="H46" s="23" t="s">
        <v>81</v>
      </c>
      <c r="I46" s="64">
        <f>(E44+E24)/E64</f>
        <v>0.19114496643294349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2">
        <f>C40+C41+C42</f>
        <v>321001</v>
      </c>
      <c r="D47" s="63">
        <f t="shared" si="6"/>
        <v>0.20727692437095208</v>
      </c>
      <c r="E47" s="91">
        <f>E40+E41+E42</f>
        <v>66536.099999999991</v>
      </c>
      <c r="F47" s="90"/>
      <c r="G47" s="90"/>
      <c r="H47" s="23" t="s">
        <v>83</v>
      </c>
      <c r="I47" s="64">
        <f>(E44+E45+E24+E25)/$I$49</f>
        <v>0.19466642418628127</v>
      </c>
      <c r="J47" s="8" t="str">
        <f>IF(OR(I47&lt;0.5,C49&lt;I49),"Liquidity Problem!","")</f>
        <v>Liquidity Problem!</v>
      </c>
    </row>
    <row r="48" spans="2:10" ht="15" customHeight="1" thickBot="1" x14ac:dyDescent="0.45">
      <c r="B48" s="83" t="s">
        <v>84</v>
      </c>
      <c r="C48" s="84">
        <f>SUM(C30:C42)</f>
        <v>21581084</v>
      </c>
      <c r="D48" s="85">
        <f>E48/C48</f>
        <v>4.5473410881492326E-3</v>
      </c>
      <c r="E48" s="79">
        <f>SUM(E30:E42)</f>
        <v>98136.549999999988</v>
      </c>
      <c r="F48" s="90"/>
      <c r="G48" s="90"/>
      <c r="H48" s="83" t="s">
        <v>85</v>
      </c>
      <c r="I48" s="86">
        <v>0</v>
      </c>
      <c r="J48" s="8"/>
    </row>
    <row r="49" spans="2:10" ht="15" customHeight="1" thickTop="1" x14ac:dyDescent="0.4">
      <c r="B49" s="3" t="s">
        <v>14</v>
      </c>
      <c r="C49" s="62">
        <f>C28+C48</f>
        <v>33907267</v>
      </c>
      <c r="D49" s="56">
        <f>E49/C49</f>
        <v>0.18148880150087005</v>
      </c>
      <c r="E49" s="91">
        <f>E28+E48</f>
        <v>6153789.2500000009</v>
      </c>
      <c r="F49" s="90"/>
      <c r="G49" s="90"/>
      <c r="H49" s="3" t="s">
        <v>86</v>
      </c>
      <c r="I49" s="52">
        <f>I28+I48</f>
        <v>31128291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BV of the MI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130155</v>
      </c>
      <c r="D53" s="29">
        <f>IF(E53=0, 0,E53/C53)</f>
        <v>1</v>
      </c>
      <c r="E53" s="91">
        <f>MAX(C53,C53*Dashboard!G23)</f>
        <v>130155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9">
        <f>I15+I34</f>
        <v>30440709</v>
      </c>
      <c r="E56" s="220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8">
        <v>0</v>
      </c>
      <c r="E57" s="217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8">
        <v>0</v>
      </c>
      <c r="E58" s="217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7469484</v>
      </c>
      <c r="D61" s="56">
        <f t="shared" ref="D61:D70" si="7">IF(E61=0,0,E61/C61)</f>
        <v>0.18967039758034152</v>
      </c>
      <c r="E61" s="52">
        <f>E14+E15+(E19*G19)+(E20*G20)+E31+E32+(E35*G35)+(E36*G36)+(E37*G37)</f>
        <v>1416739.9999999998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21777141</v>
      </c>
      <c r="D62" s="112">
        <f t="shared" si="7"/>
        <v>3.7651085603936714E-2</v>
      </c>
      <c r="E62" s="126">
        <f>E11+E30</f>
        <v>819933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29246625</v>
      </c>
      <c r="D63" s="29">
        <f t="shared" si="7"/>
        <v>7.6476277177281143E-2</v>
      </c>
      <c r="E63" s="62">
        <f>E61+E62</f>
        <v>2236673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30440709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-1194084</v>
      </c>
      <c r="D65" s="29">
        <f t="shared" si="7"/>
        <v>23.619808991662229</v>
      </c>
      <c r="E65" s="62">
        <f>E63-E64</f>
        <v>-28204036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4660642</v>
      </c>
      <c r="D68" s="29">
        <f t="shared" si="7"/>
        <v>0.84046709659313046</v>
      </c>
      <c r="E68" s="71">
        <f>E49-E63</f>
        <v>3917116.2500000009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687582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3973060</v>
      </c>
      <c r="D70" s="29">
        <f t="shared" si="7"/>
        <v>0.81285816222256924</v>
      </c>
      <c r="E70" s="71">
        <f>E68-E69</f>
        <v>3229534.2500000009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4">
        <f>Data!C5</f>
        <v>45291</v>
      </c>
      <c r="D72" s="224"/>
      <c r="H72" s="50" t="s">
        <v>8</v>
      </c>
    </row>
    <row r="73" spans="1:9" ht="15" customHeight="1" x14ac:dyDescent="0.4">
      <c r="B73" s="12" t="str">
        <f>"(Numbers in "&amp;Data!C4&amp;Dashboard!G6&amp;")"</f>
        <v>(Numbers in 1000000CNY)</v>
      </c>
      <c r="C73" s="223" t="s">
        <v>103</v>
      </c>
      <c r="D73" s="223"/>
      <c r="E73" s="225" t="s">
        <v>104</v>
      </c>
      <c r="F73" s="223"/>
    </row>
    <row r="74" spans="1:9" ht="15" customHeight="1" x14ac:dyDescent="0.4">
      <c r="B74" s="3" t="s">
        <v>136</v>
      </c>
      <c r="C74" s="80">
        <f>Data!C6</f>
        <v>1141220</v>
      </c>
      <c r="D74" s="181"/>
      <c r="E74" s="182">
        <f>C74</f>
        <v>1141220</v>
      </c>
      <c r="F74" s="181"/>
    </row>
    <row r="75" spans="1:9" ht="15" customHeight="1" x14ac:dyDescent="0.4">
      <c r="B75" s="109" t="s">
        <v>109</v>
      </c>
      <c r="C75" s="80">
        <f>Data!C8</f>
        <v>13504</v>
      </c>
      <c r="D75" s="183">
        <f>C75/$C$74</f>
        <v>1.1832950701880444E-2</v>
      </c>
      <c r="E75" s="182">
        <f>D75*E74</f>
        <v>13504</v>
      </c>
      <c r="F75" s="184">
        <f>E75/$E$74</f>
        <v>1.1832950701880444E-2</v>
      </c>
    </row>
    <row r="76" spans="1:9" ht="15" customHeight="1" x14ac:dyDescent="0.4">
      <c r="B76" s="35" t="s">
        <v>96</v>
      </c>
      <c r="C76" s="185">
        <f>C74-C75</f>
        <v>1127716</v>
      </c>
      <c r="D76" s="186"/>
      <c r="E76" s="187">
        <f>E74-E75</f>
        <v>1127716</v>
      </c>
      <c r="F76" s="186"/>
    </row>
    <row r="77" spans="1:9" ht="15" customHeight="1" x14ac:dyDescent="0.4">
      <c r="B77" s="109" t="s">
        <v>133</v>
      </c>
      <c r="C77" s="80">
        <f>Data!C10-Data!C12</f>
        <v>222933</v>
      </c>
      <c r="D77" s="183">
        <f>C77/$C$74</f>
        <v>0.19534620844359546</v>
      </c>
      <c r="E77" s="182">
        <f>D77*E74</f>
        <v>222933</v>
      </c>
      <c r="F77" s="184">
        <f>E77/$E$74</f>
        <v>0.19534620844359546</v>
      </c>
    </row>
    <row r="78" spans="1:9" ht="15" customHeight="1" x14ac:dyDescent="0.4">
      <c r="B78" s="35" t="s">
        <v>97</v>
      </c>
      <c r="C78" s="185">
        <f>C76-C77</f>
        <v>904783</v>
      </c>
      <c r="D78" s="186"/>
      <c r="E78" s="187">
        <f>E76-E77</f>
        <v>904783</v>
      </c>
      <c r="F78" s="186"/>
    </row>
    <row r="79" spans="1:9" ht="15" customHeight="1" x14ac:dyDescent="0.4">
      <c r="B79" s="109" t="s">
        <v>129</v>
      </c>
      <c r="C79" s="80">
        <f>Data!C17</f>
        <v>582306</v>
      </c>
      <c r="D79" s="183">
        <f>C79/$C$74</f>
        <v>0.51024868123587042</v>
      </c>
      <c r="E79" s="182">
        <f>C79</f>
        <v>582306</v>
      </c>
      <c r="F79" s="184">
        <f>E79/$E$74</f>
        <v>0.51024868123587042</v>
      </c>
    </row>
    <row r="80" spans="1:9" ht="15" customHeight="1" x14ac:dyDescent="0.4">
      <c r="B80" s="28" t="s">
        <v>135</v>
      </c>
      <c r="C80" s="80">
        <f>Data!C14+MAX(Data!C15,0)</f>
        <v>0</v>
      </c>
      <c r="D80" s="183">
        <f>C80/$C$74</f>
        <v>0</v>
      </c>
      <c r="E80" s="182">
        <f>3%*E74</f>
        <v>34236.6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0</v>
      </c>
      <c r="D81" s="183">
        <f>C81/$C$74</f>
        <v>0</v>
      </c>
      <c r="E81" s="182">
        <f>C81</f>
        <v>0</v>
      </c>
      <c r="F81" s="184">
        <f t="shared" si="8"/>
        <v>0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14467</v>
      </c>
      <c r="D82" s="183">
        <f>C82/$C$74</f>
        <v>1.267678449378735E-2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308010</v>
      </c>
      <c r="D83" s="189">
        <f>C83/$C$74</f>
        <v>0.26989537512486639</v>
      </c>
      <c r="E83" s="190">
        <f>E78-E79-E80-E81-E82</f>
        <v>288240.40000000002</v>
      </c>
      <c r="F83" s="191">
        <f t="shared" si="8"/>
        <v>0.25257215961865376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231007.5</v>
      </c>
      <c r="D85" s="191">
        <f>C85/$C$74</f>
        <v>0.20242153134364979</v>
      </c>
      <c r="E85" s="196">
        <f>E83*(1-F84)</f>
        <v>216180.30000000002</v>
      </c>
      <c r="F85" s="191">
        <f>E85/$E$74</f>
        <v>0.18942911971399032</v>
      </c>
    </row>
    <row r="86" spans="1:8" ht="15" customHeight="1" x14ac:dyDescent="0.4">
      <c r="B86" s="90" t="s">
        <v>174</v>
      </c>
      <c r="C86" s="197">
        <f>C85*Data!C4/Common_Shares</f>
        <v>0.78470475635617021</v>
      </c>
      <c r="D86" s="181"/>
      <c r="E86" s="198">
        <f>E85*Data!C4/Common_Shares</f>
        <v>0.73433853723582054</v>
      </c>
      <c r="F86" s="181"/>
    </row>
    <row r="87" spans="1:8" ht="15" customHeight="1" x14ac:dyDescent="0.4">
      <c r="B87" s="89" t="s">
        <v>175</v>
      </c>
      <c r="C87" s="199">
        <f>0.2364+0.1208</f>
        <v>0.35720000000000002</v>
      </c>
      <c r="D87" s="191">
        <f>C87/C86</f>
        <v>0.45520305198439531</v>
      </c>
      <c r="E87" s="200">
        <f>0.2364</f>
        <v>0.2364</v>
      </c>
      <c r="F87" s="191">
        <f>E87/E86</f>
        <v>0.32192236688251608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1" t="s">
        <v>170</v>
      </c>
      <c r="E90" s="221"/>
      <c r="G90" s="90"/>
      <c r="H90" s="24"/>
    </row>
    <row r="91" spans="1:8" ht="15" customHeight="1" x14ac:dyDescent="0.4">
      <c r="B91" s="1" t="s">
        <v>192</v>
      </c>
      <c r="C91" s="61" t="s">
        <v>239</v>
      </c>
      <c r="D91" s="222" t="s">
        <v>219</v>
      </c>
      <c r="E91" s="222"/>
      <c r="F91" s="29">
        <f>E86*Exchange_Rate/Dashboard!G3</f>
        <v>0.21125647730859817</v>
      </c>
      <c r="H91" s="161"/>
    </row>
    <row r="92" spans="1:8" ht="15" customHeight="1" x14ac:dyDescent="0.4">
      <c r="B92" s="1" t="str">
        <f>IF(C91="CN",Dashboard!B17,Dashboard!B12)</f>
        <v>Required Return (CN)</v>
      </c>
      <c r="C92" s="146">
        <f>IF(C91="CN",Dashboard!C17,IF(C91="US",Dashboard!C12,IF(C91="HK",Dashboard!D12,Dashboard!D17)))</f>
        <v>8.8000000000000009E-2</v>
      </c>
      <c r="D92" s="160">
        <v>5</v>
      </c>
      <c r="E92" s="90" t="s">
        <v>220</v>
      </c>
      <c r="F92" s="159">
        <f>FV(F91,D92,0,-(E86/C92))</f>
        <v>21.756759467266605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221</v>
      </c>
      <c r="E94" s="133" t="s">
        <v>222</v>
      </c>
      <c r="H94" s="24"/>
    </row>
    <row r="95" spans="1:8" ht="15" customHeight="1" x14ac:dyDescent="0.4">
      <c r="B95" s="1" t="s">
        <v>140</v>
      </c>
      <c r="C95" s="95">
        <f>D95*Common_Shares/Data!C4</f>
        <v>4556428.8215768877</v>
      </c>
      <c r="D95" s="132">
        <f>PV(C92,D92,0,-F92)*Exchange_Rate</f>
        <v>15.47764193062876</v>
      </c>
      <c r="E95" s="132">
        <f>PV(15%,D92,0,-F92)*Exchange_Rate</f>
        <v>11.731676267824518</v>
      </c>
      <c r="H95" s="24"/>
    </row>
    <row r="96" spans="1:8" ht="15" customHeight="1" x14ac:dyDescent="0.4">
      <c r="B96" s="28" t="s">
        <v>157</v>
      </c>
      <c r="C96" s="95">
        <f>E53*Exchange_Rate</f>
        <v>141161.38738572598</v>
      </c>
      <c r="D96" s="132">
        <f>C96*Data!$C$4/Common_Shares</f>
        <v>0.47950829343382817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-30589073.425046761</v>
      </c>
      <c r="D97" s="162">
        <f>C97*Data!$C$4/Common_Shares</f>
        <v>-103.9074117037859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-26173805.990855597</v>
      </c>
      <c r="D98" s="114">
        <f>MAX(C98*Data!$C$4/Common_Shares,0)</f>
        <v>0</v>
      </c>
      <c r="E98" s="114">
        <f>E95*Exchange_Rate-D96+D97</f>
        <v>-91.66316986601997</v>
      </c>
      <c r="F98" s="114">
        <f>D98*1.25</f>
        <v>0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1109975.559603388</v>
      </c>
      <c r="D101" s="132">
        <f>E87/(C92-D100)*Exchange_Rate</f>
        <v>3.7704537777339704</v>
      </c>
      <c r="E101" s="114">
        <f>D101*(1-25%)</f>
        <v>2.827840333300478</v>
      </c>
      <c r="F101" s="114">
        <f>D101*1.25</f>
        <v>4.7130672221674628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223</v>
      </c>
      <c r="C103" s="137" t="str">
        <f>C100</f>
        <v>HKD</v>
      </c>
      <c r="D103" s="137" t="s">
        <v>233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224</v>
      </c>
      <c r="C104" s="95">
        <f>D104*Common_Shares/Data!C4</f>
        <v>554987.77980169398</v>
      </c>
      <c r="D104" s="132">
        <f>(D98+D101)/2</f>
        <v>1.8852268888669852</v>
      </c>
      <c r="E104" s="114">
        <f>D104*(1-25%)</f>
        <v>1.413920166650239</v>
      </c>
      <c r="F104" s="114">
        <f>D104*1.25</f>
        <v>2.3565336110837314</v>
      </c>
    </row>
    <row r="106" spans="2:8" ht="15" customHeight="1" x14ac:dyDescent="0.4">
      <c r="B106" s="10" t="s">
        <v>180</v>
      </c>
      <c r="C106" s="138" t="s">
        <v>234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2024-11-10T16:22:56Z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