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EC51B6B-EFEC-47D6-B49D-CB4159DA6469}" xr6:coauthVersionLast="47" xr6:coauthVersionMax="47" xr10:uidLastSave="{00000000-0000-0000-0000-000000000000}"/>
  <bookViews>
    <workbookView xWindow="1837" yWindow="1837" windowWidth="12691" windowHeight="7643" firstSheet="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8" i="2"/>
  <c r="C8" i="2"/>
  <c r="D6" i="2"/>
  <c r="C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<sst xmlns="http://schemas.openxmlformats.org/spreadsheetml/2006/main" count="261" uniqueCount="240">
  <si>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</si>
  <si>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</si>
  <si>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</si>
  <si>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</si>
  <si>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</si>
  <si>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</si>
  <si>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</si>
  <si>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</si>
  <si>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</si>
  <si>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</si>
  <si>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</si>
  <si>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</si>
  <si>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</si>
  <si>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</si>
  <si>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</si>
  <si>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</si>
  <si>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</si>
  <si>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</si>
  <si>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</si>
  <si>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</si>
  <si>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</si>
  <si>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</si>
  <si>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</si>
  <si>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</si>
  <si>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</si>
  <si>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</si>
  <si>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</si>
  <si>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</si>
  <si>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</si>
  <si>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</si>
  <si>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</si>
  <si>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</si>
  <si>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</si>
  <si>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</si>
  <si>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</si>
  <si>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</si>
  <si>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</si>
  <si>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</si>
  <si>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</si>
  <si>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</si>
  <si>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</si>
  <si>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</si>
  <si>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</si>
  <si>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</si>
  <si>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</si>
  <si>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</si>
  <si>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</si>
  <si>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</si>
  <si>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</si>
  <si>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</si>
  <si>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</si>
  <si>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</si>
  <si>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</si>
  <si>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</si>
  <si>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</si>
  <si>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</si>
  <si>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</si>
  <si>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</si>
  <si>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</si>
  <si>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</si>
  <si>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</si>
  <si>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</si>
  <si>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</si>
  <si>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</si>
  <si>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</si>
  <si>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</si>
  <si>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</si>
  <si>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</si>
  <si>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</si>
  <si>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</si>
  <si>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</si>
  <si>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</si>
  <si>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</si>
  <si>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</si>
  <si>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</si>
  <si>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</si>
  <si>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</si>
  <si>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</si>
  <si>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</si>
  <si>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</si>
  <si>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</si>
  <si>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</si>
  <si>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</si>
  <si>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</si>
  <si>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</si>
  <si>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</si>
  <si>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</si>
  <si>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</si>
  <si>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</si>
  <si>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</si>
  <si>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</si>
  <si>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</si>
  <si>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</si>
  <si>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</si>
  <si>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</si>
  <si>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</si>
  <si>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</si>
  <si>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</si>
  <si>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</si>
  <si>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</si>
  <si>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</si>
  <si>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</si>
  <si>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</si>
  <si>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</si>
  <si>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</si>
  <si>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</si>
  <si>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</si>
  <si>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</si>
  <si>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</si>
  <si>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</si>
  <si>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</si>
  <si>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</si>
  <si>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</si>
  <si>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</si>
  <si>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</si>
  <si>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</si>
  <si>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</si>
  <si>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</si>
  <si>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</si>
  <si>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</si>
  <si>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</si>
  <si>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</si>
  <si>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</si>
  <si>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</si>
  <si>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</si>
  <si>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</si>
  <si>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</si>
  <si>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</si>
  <si>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</si>
  <si>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</si>
  <si>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</si>
  <si>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</si>
  <si>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</si>
  <si>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</si>
  <si>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</si>
  <si>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</si>
  <si>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</si>
  <si>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</si>
  <si>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</si>
  <si>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</si>
  <si>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</si>
  <si>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</si>
  <si>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</si>
  <si>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</si>
  <si>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</si>
  <si>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</si>
  <si>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</si>
  <si>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</si>
  <si>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</si>
  <si>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</si>
  <si>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</si>
  <si>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</si>
  <si>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</si>
  <si>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</si>
  <si>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</si>
  <si>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</si>
  <si>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</si>
  <si>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</si>
  <si>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</si>
  <si>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</si>
  <si>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</si>
  <si>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</si>
  <si>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</si>
  <si>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</si>
  <si>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</si>
  <si>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</si>
  <si>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</si>
  <si>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</si>
  <si>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</si>
  <si>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</si>
  <si>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</si>
  <si>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</si>
  <si>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</si>
  <si>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</si>
  <si>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</si>
  <si>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</si>
  <si>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</si>
  <si>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</si>
  <si>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</si>
  <si>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</si>
  <si>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</si>
  <si>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</si>
  <si>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</si>
  <si>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</si>
  <si>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</si>
  <si>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</si>
  <si>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</si>
  <si>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</si>
  <si>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</si>
  <si>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</si>
  <si>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</si>
  <si>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</si>
  <si>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</si>
  <si>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</si>
  <si>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</si>
  <si>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</si>
  <si>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</si>
  <si>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</si>
  <si>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</si>
  <si>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</si>
  <si>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</si>
  <si>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</si>
  <si>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</si>
  <si>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</si>
  <si>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</si>
  <si>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</si>
  <si>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</si>
  <si>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</si>
  <si>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</si>
  <si>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</si>
  <si>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</si>
  <si>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</si>
  <si>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</si>
  <si>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</si>
  <si>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</si>
  <si>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</si>
  <si>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</si>
  <si>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</si>
  <si>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</si>
  <si>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</si>
  <si>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</si>
  <si>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</si>
  <si>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</si>
  <si>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</si>
  <si>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</si>
  <si>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</si>
  <si>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</si>
  <si>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</si>
  <si>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</si>
  <si>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</si>
  <si>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</si>
  <si>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</si>
  <si>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</si>
  <si>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</si>
  <si>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</si>
  <si>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中国光大银行</t>
    <phoneticPr fontId="20" type="noConversion"/>
  </si>
  <si>
    <t>6818.HK</t>
    <phoneticPr fontId="20" type="noConversion"/>
  </si>
  <si>
    <t>CNY</t>
  </si>
  <si>
    <t>C0014</t>
    <phoneticPr fontId="20" type="noConversion"/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</si>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</sst>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22" zoomScaleNormal="100" workbookViewId="0">
      <selection activeCell="B26" sqref="B2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236</v>
      </c>
      <c r="D3" s="212"/>
      <c r="E3" s="90"/>
      <c r="F3" s="3" t="s">
        <v>1</v>
      </c>
      <c r="G3" s="142">
        <v>2.7699999809265137</v>
      </c>
      <c r="H3" s="144" t="s">
        <v>2</v>
      </c>
    </row>
    <row r="4" spans="1:10" ht="15.75" customHeight="1" x14ac:dyDescent="0.5">
      <c r="B4" s="35" t="s">
        <v>217</v>
      </c>
      <c r="C4" s="213" t="s">
        <v>235</v>
      </c>
      <c r="D4" s="214"/>
      <c r="E4" s="90"/>
      <c r="F4" s="3" t="s">
        <v>3</v>
      </c>
      <c r="G4" s="217">
        <v>59085551061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163666.97531200256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237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238</v>
      </c>
      <c r="E7" s="90"/>
      <c r="F7" s="35" t="s">
        <v>6</v>
      </c>
      <c r="G7" s="143">
        <v>1.0845636924107869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0.19853855217217412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0.15821181625248168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0.51643948647548221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1.1730956030061383E-2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0.13353366528790928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0.50726001335431981</v>
      </c>
    </row>
    <row r="26" spans="1:8" ht="15.75" customHeight="1" x14ac:dyDescent="0.4">
      <c r="B26" s="148" t="s">
        <v>191</v>
      </c>
      <c r="C26" s="201">
        <f>Fin_Analysis!F83</f>
        <v>9.6810145099862008E-2</v>
      </c>
      <c r="F26" s="151" t="s">
        <v>215</v>
      </c>
      <c r="G26" s="208">
        <f>Fin_Analysis!E87*Exchange_Rate/G3</f>
        <v>6.7736288837196124E-2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2.0694432219161705</v>
      </c>
      <c r="D29" s="139">
        <f>IF(Fin_Analysis!C106="Profit",Fin_Analysis!F98,IF(Fin_Analysis!C106="Dividend",Fin_Analysis!F101,Fin_Analysis!F104))</f>
        <v>3.4490720365269505</v>
      </c>
      <c r="E29" s="90"/>
      <c r="F29" s="141">
        <f>IF(Fin_Analysis!C106="Profit",Fin_Analysis!D98,IF(Fin_Analysis!C106="Dividend",Fin_Analysis!D101,Fin_Analysis!D104))</f>
        <v>2.7592576292215605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B26" sqref="B2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34815.333333333336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250809+26724</f>
        <v>277533</v>
      </c>
      <c r="D6" s="169">
        <f>241309+30077</f>
        <v>271386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2.2650394640843619E-2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f>3026+52075</f>
        <v>55101</v>
      </c>
      <c r="D8" s="170">
        <f>3333+50600</f>
        <v>53933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>IF(C6="","",(C6-C8))</f>
        <v>222432</v>
      </c>
      <c r="D9" s="171">
        <f t="shared" ref="D9:M9" si="2">IF(D6="","",(D6-D8))</f>
        <v>217453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43909</v>
      </c>
      <c r="D10" s="170">
        <v>45277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178523</v>
      </c>
      <c r="D13" s="171">
        <f t="shared" ref="D13:M13" si="4">IF(D6="","",(D9-D10+D12))</f>
        <v>172176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143329</v>
      </c>
      <c r="D17" s="170">
        <v>127654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284</v>
      </c>
      <c r="D18" s="170">
        <v>233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34815.333333333336</v>
      </c>
      <c r="D19" s="80">
        <f>IF(D6="","",D9-D10-D17-MAX(D18/(1-Fin_Analysis!$F$84),0))</f>
        <v>44211.333333333336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-0.21252469200959029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34815.333333333336</v>
      </c>
      <c r="D21" s="80">
        <f>IF(D6="","",D13-D14-MAX(D15,0)-MAX(D16,0)-D17-MAX(D18/(1-Fin_Analysis!$F$84),0))</f>
        <v>44211.333333333336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-0.21252469200959029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9.4084307091408956E-2</v>
      </c>
      <c r="D23" s="174">
        <f t="shared" si="7"/>
        <v>0.12218205802804862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26111.5</v>
      </c>
      <c r="D24" s="80">
        <f>IF(D6="","",D21*(1-Fin_Analysis!$F$84))</f>
        <v>33158.5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-0.21252469200959029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2.4992847034065778E-3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>IF(C6="","",C8/C6)</f>
        <v>0.19853855217217412</v>
      </c>
      <c r="D42" s="178">
        <f t="shared" ref="D42:M42" si="22">IF(D6="","",D8/D6)</f>
        <v>0.19873169581334335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>IF(C6="","",(C10-C12)/C6)</f>
        <v>0.15821181625248168</v>
      </c>
      <c r="D43" s="174">
        <f t="shared" ref="D43:M43" si="23">IF(D6="","",(D10-D12)/D6)</f>
        <v>0.16683616693565623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0.51643948647548221</v>
      </c>
      <c r="D46" s="174">
        <f t="shared" si="26"/>
        <v>0.47037798559984673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1.3644023113167324E-3</v>
      </c>
      <c r="D47" s="174">
        <f>IF(D6="","",MAX(D18,0)/(1-Fin_Analysis!$F$84)/D6)</f>
        <v>1.1447409470888943E-3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0.12544574278854528</v>
      </c>
      <c r="D48" s="174">
        <f t="shared" si="27"/>
        <v>0.16290941070406481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0.95762666061333246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34.850832153293481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3.5924798897690721E-2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4.116835493939452</v>
      </c>
      <c r="D55" s="174">
        <f t="shared" si="32"/>
        <v>2.8873591989987482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81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4048308.8135904786</v>
      </c>
      <c r="E6" s="56">
        <f>1-D6/D3</f>
        <v>0.68529688173907477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74.310024634515301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277533</v>
      </c>
      <c r="D74" s="181"/>
      <c r="E74" s="182">
        <f>C74</f>
        <v>277533</v>
      </c>
      <c r="F74" s="181"/>
    </row>
    <row r="75" spans="1:9" ht="15" customHeight="1" x14ac:dyDescent="0.4">
      <c r="B75" s="109" t="s">
        <v>109</v>
      </c>
      <c r="C75" s="80">
        <f>Data!C8</f>
        <v>55101</v>
      </c>
      <c r="D75" s="183">
        <f>C75/$C$74</f>
        <v>0.19853855217217412</v>
      </c>
      <c r="E75" s="182">
        <f>D75*E74</f>
        <v>55101</v>
      </c>
      <c r="F75" s="184">
        <f>E75/$E$74</f>
        <v>0.19853855217217412</v>
      </c>
    </row>
    <row r="76" spans="1:9" ht="15" customHeight="1" x14ac:dyDescent="0.4">
      <c r="B76" s="35" t="s">
        <v>96</v>
      </c>
      <c r="C76" s="185">
        <f>C74-C75</f>
        <v>222432</v>
      </c>
      <c r="D76" s="186"/>
      <c r="E76" s="187">
        <f>E74-E75</f>
        <v>222432</v>
      </c>
      <c r="F76" s="186"/>
    </row>
    <row r="77" spans="1:9" ht="15" customHeight="1" x14ac:dyDescent="0.4">
      <c r="B77" s="109" t="s">
        <v>133</v>
      </c>
      <c r="C77" s="80">
        <f>Data!C10-Data!C12</f>
        <v>43909</v>
      </c>
      <c r="D77" s="183">
        <f>C77/$C$74</f>
        <v>0.15821181625248168</v>
      </c>
      <c r="E77" s="182">
        <f>D77*E74</f>
        <v>43909</v>
      </c>
      <c r="F77" s="184">
        <f>E77/$E$74</f>
        <v>0.15821181625248168</v>
      </c>
    </row>
    <row r="78" spans="1:9" ht="15" customHeight="1" x14ac:dyDescent="0.4">
      <c r="B78" s="35" t="s">
        <v>97</v>
      </c>
      <c r="C78" s="185">
        <f>C76-C77</f>
        <v>178523</v>
      </c>
      <c r="D78" s="186"/>
      <c r="E78" s="187">
        <f>E76-E77</f>
        <v>178523</v>
      </c>
      <c r="F78" s="186"/>
    </row>
    <row r="79" spans="1:9" ht="15" customHeight="1" x14ac:dyDescent="0.4">
      <c r="B79" s="109" t="s">
        <v>129</v>
      </c>
      <c r="C79" s="80">
        <f>Data!C17</f>
        <v>143329</v>
      </c>
      <c r="D79" s="183">
        <f>C79/$C$74</f>
        <v>0.51643948647548221</v>
      </c>
      <c r="E79" s="182">
        <f>C79</f>
        <v>143329</v>
      </c>
      <c r="F79" s="184">
        <f>E79/$E$74</f>
        <v>0.51643948647548221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8325.99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284</v>
      </c>
      <c r="D82" s="183">
        <f>C82/$C$74</f>
        <v>1.0233017334875492E-3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34910</v>
      </c>
      <c r="D83" s="189">
        <f>C83/$C$74</f>
        <v>0.12578684336637444</v>
      </c>
      <c r="E83" s="190">
        <f>E78-E79-E80-E81-E82</f>
        <v>26868.010000000002</v>
      </c>
      <c r="F83" s="191">
        <f t="shared" si="8"/>
        <v>9.6810145099862008E-2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26182.5</v>
      </c>
      <c r="D85" s="191">
        <f>C85/$C$74</f>
        <v>9.4340132524780837E-2</v>
      </c>
      <c r="E85" s="196">
        <f>E83*(1-F84)</f>
        <v>20151.0075</v>
      </c>
      <c r="F85" s="191">
        <f>E85/$E$74</f>
        <v>7.2607608824896502E-2</v>
      </c>
    </row>
    <row r="86" spans="1:8" ht="15" customHeight="1" x14ac:dyDescent="0.4">
      <c r="B86" s="90" t="s">
        <v>174</v>
      </c>
      <c r="C86" s="197">
        <f>C85*Data!C4/Common_Shares</f>
        <v>0.44312864194105855</v>
      </c>
      <c r="D86" s="181"/>
      <c r="E86" s="198">
        <f>E85*Data!C4/Common_Shares</f>
        <v>0.34104797430417588</v>
      </c>
      <c r="F86" s="181"/>
    </row>
    <row r="87" spans="1:8" ht="15" customHeight="1" x14ac:dyDescent="0.4">
      <c r="B87" s="89" t="s">
        <v>175</v>
      </c>
      <c r="C87" s="199">
        <f>0.173+0.104</f>
        <v>0.27699999999999997</v>
      </c>
      <c r="D87" s="191">
        <f>C87/C86</f>
        <v>0.62510064523620734</v>
      </c>
      <c r="E87" s="200">
        <v>0.17299999999999999</v>
      </c>
      <c r="F87" s="191">
        <f>E87/E86</f>
        <v>0.50726001335431981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239</v>
      </c>
      <c r="D91" s="221" t="s">
        <v>219</v>
      </c>
      <c r="E91" s="221"/>
      <c r="F91" s="29">
        <f>E86*Exchange_Rate/Dashboard!G3</f>
        <v>0.13353366528790928</v>
      </c>
      <c r="H91" s="161"/>
    </row>
    <row r="92" spans="1:8" ht="15" customHeight="1" x14ac:dyDescent="0.4">
      <c r="B92" s="1" t="str">
        <f>IF(C91="CN",Dashboard!B17,Dashboard!B12)</f>
        <v>Required Return (CN)</v>
      </c>
      <c r="C92" s="146">
        <f>IF(C91="CN",Dashboard!C17,IF(C91="US",Dashboard!C12,IF(C91="HK",Dashboard!D12,Dashboard!D17)))</f>
        <v>8.8000000000000009E-2</v>
      </c>
      <c r="D92" s="160">
        <v>5</v>
      </c>
      <c r="E92" s="90" t="s">
        <v>220</v>
      </c>
      <c r="F92" s="159">
        <f>FV(F91,D92,0,-(E86/C92))</f>
        <v>7.2527868936723827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304857.4355480377</v>
      </c>
      <c r="D95" s="132">
        <f>PV(C92,D92,0,-F92)*Exchange_Rate</f>
        <v>5.1595936751660743</v>
      </c>
      <c r="E95" s="132">
        <f>PV(15%,D92,0,-F92)*Exchange_Rate</f>
        <v>3.910846558013398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1316928.4267314593</v>
      </c>
      <c r="D97" s="162">
        <f>C97*Data!$C$4/Common_Shares</f>
        <v>22.288502063251649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1621785.8622794971</v>
      </c>
      <c r="D98" s="114">
        <f>MAX(C98*Data!$C$4/Common_Shares,0)</f>
        <v>27.448095738417727</v>
      </c>
      <c r="E98" s="114">
        <f>E95*Exchange_Rate-D96+D97</f>
        <v>26.530064246662675</v>
      </c>
      <c r="F98" s="114">
        <f>D98*1.25</f>
        <v>34.310119673022157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163032.25754182431</v>
      </c>
      <c r="D101" s="132">
        <f>E87/(C92-D100)*Exchange_Rate</f>
        <v>2.7592576292215605</v>
      </c>
      <c r="E101" s="114">
        <f>D101*(1-25%)</f>
        <v>2.0694432219161705</v>
      </c>
      <c r="F101" s="114">
        <f>D101*1.25</f>
        <v>3.4490720365269505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892409.05991066073</v>
      </c>
      <c r="D104" s="132">
        <f>(D98+D101)/2</f>
        <v>15.103676683819645</v>
      </c>
      <c r="E104" s="114">
        <f>D104*(1-25%)</f>
        <v>11.327757512864734</v>
      </c>
      <c r="F104" s="114">
        <f>D104*1.25</f>
        <v>18.879595854774557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