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4160EF5-3895-4D8D-96B3-A2595C25186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F96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<sst xmlns="http://schemas.openxmlformats.org/spreadsheetml/2006/main" count="391" uniqueCount="270">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</sst>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2897780274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4.9537648612945837E-2</v>
      </c>
      <c r="D45" s="152">
        <f>IF(D44="","",D44*Exchange_Rate/Dashboard!$G$3)</f>
        <v>6.5389696169088504E-2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1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3743</v>
      </c>
      <c r="D72" s="248">
        <v>0</v>
      </c>
      <c r="E72" s="249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208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0016.HK</v>
      </c>
      <c r="D3" s="278"/>
      <c r="E3" s="87"/>
      <c r="F3" s="3" t="s">
        <v>1</v>
      </c>
      <c r="G3" s="132">
        <v>75.7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新鴻基地產</v>
      </c>
      <c r="D4" s="280"/>
      <c r="E4" s="87"/>
      <c r="F4" s="3" t="s">
        <v>3</v>
      </c>
      <c r="G4" s="283">
        <f>Inputs!C10</f>
        <v>2897780274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45625</v>
      </c>
      <c r="D5" s="282"/>
      <c r="E5" s="34"/>
      <c r="F5" s="35" t="s">
        <v>100</v>
      </c>
      <c r="G5" s="275">
        <f>G3*G4/1000000</f>
        <v>219361.96674180002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0.54949235029228316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0.35897950768699544</v>
      </c>
    </row>
    <row r="24" spans="1:8" ht="15.75" customHeight="1" x14ac:dyDescent="0.4">
      <c r="B24" s="137" t="s">
        <v>171</v>
      </c>
      <c r="C24" s="171">
        <f>Fin_Analysis!I81</f>
        <v>5.6582664391799292E-2</v>
      </c>
      <c r="F24" s="140" t="s">
        <v>260</v>
      </c>
      <c r="G24" s="268">
        <f>G3/(Fin_Analysis!H86*G7)</f>
        <v>14.481999941362158</v>
      </c>
    </row>
    <row r="25" spans="1:8" ht="15.75" customHeight="1" x14ac:dyDescent="0.4">
      <c r="B25" s="137" t="s">
        <v>244</v>
      </c>
      <c r="C25" s="171">
        <f>Fin_Analysis!I82</f>
        <v>5.719799737085E-3</v>
      </c>
      <c r="F25" s="140" t="s">
        <v>175</v>
      </c>
      <c r="G25" s="171">
        <f>Fin_Analysis!I88</f>
        <v>0.71740422430790074</v>
      </c>
    </row>
    <row r="26" spans="1:8" ht="15.75" customHeight="1" x14ac:dyDescent="0.4">
      <c r="B26" s="138" t="s">
        <v>174</v>
      </c>
      <c r="C26" s="171">
        <f>Fin_Analysis!I83</f>
        <v>0.27690377095281005</v>
      </c>
      <c r="F26" s="141" t="s">
        <v>194</v>
      </c>
      <c r="G26" s="178">
        <f>Fin_Analysis!H88*Exchange_Rate/G3</f>
        <v>4.9537648612945837E-2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22.650441957538057</v>
      </c>
      <c r="D29" s="129">
        <f>G29*(1+G20)</f>
        <v>63.823767440944238</v>
      </c>
      <c r="E29" s="87"/>
      <c r="F29" s="131">
        <f>IF(Fin_Analysis!C108="Profit",Fin_Analysis!F100,IF(Fin_Analysis!C108="Dividend",Fin_Analysis!F103,Fin_Analysis!F106))</f>
        <v>26.647578773574185</v>
      </c>
      <c r="G29" s="274">
        <f>IF(Fin_Analysis!C108="Profit",Fin_Analysis!I100,IF(Fin_Analysis!C108="Dividend",Fin_Analysis!I103,Fin_Analysis!I106))</f>
        <v>55.498928209516734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0.23935054401029285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7.0203898973512716E-3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-7.2636655948553051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0.25305527237701292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0.15580099495425681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0.20434053388692244</v>
      </c>
      <c r="D56" s="153">
        <f t="shared" si="46"/>
        <v>0.13446497443458727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4.0099174353350966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127087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96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233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161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6.9051236296714238E-2</v>
      </c>
      <c r="D87" s="209"/>
      <c r="E87" s="262">
        <f>E86*Exchange_Rate/Dashboard!G3</f>
        <v>6.9051236296714238E-2</v>
      </c>
      <c r="F87" s="209"/>
      <c r="H87" s="262">
        <f>H86*Exchange_Rate/Dashboard!G3</f>
        <v>6.9051236296714238E-2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222</v>
      </c>
      <c r="C89" s="261">
        <f>C88*Exchange_Rate/Dashboard!G3</f>
        <v>4.9537648612945837E-2</v>
      </c>
      <c r="D89" s="209"/>
      <c r="E89" s="261">
        <f>E88*Exchange_Rate/Dashboard!G3</f>
        <v>4.9537648612945837E-2</v>
      </c>
      <c r="F89" s="209"/>
      <c r="H89" s="261">
        <f>H88*Exchange_Rate/Dashboard!G3</f>
        <v>4.9537648612945837E-2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132.10755540724776</v>
      </c>
      <c r="H93" s="87" t="s">
        <v>210</v>
      </c>
      <c r="I93" s="144">
        <f>FV(H87,D93,0,-(H86/(C93-D94)))*Exchange_Rate</f>
        <v>132.10755540724776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86.434892378850435</v>
      </c>
      <c r="H94" s="87" t="s">
        <v>211</v>
      </c>
      <c r="I94" s="144">
        <f>FV(H89,D93,0,-(H88/(C93-D94)))*Exchange_Rate</f>
        <v>86.434892378850435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190328.53561992437</v>
      </c>
      <c r="D97" s="213"/>
      <c r="E97" s="123">
        <f>PV(C94,D93,0,-F93)</f>
        <v>65.680803105613379</v>
      </c>
      <c r="F97" s="213"/>
      <c r="H97" s="123">
        <f>PV(C94,D93,0,-I93)</f>
        <v>65.680803105613379</v>
      </c>
      <c r="I97" s="123">
        <f>PV(C93,D93,0,-I93)</f>
        <v>91.913731963543526</v>
      </c>
      <c r="K97" s="24"/>
    </row>
    <row r="98" spans="2:11" ht="15" customHeight="1" x14ac:dyDescent="0.4">
      <c r="B98" s="28" t="s">
        <v>145</v>
      </c>
      <c r="C98" s="91">
        <f>-E53*Exchange_Rate</f>
        <v>-4354</v>
      </c>
      <c r="D98" s="213"/>
      <c r="E98" s="213"/>
      <c r="F98" s="213"/>
      <c r="H98" s="123">
        <f>C98*Data!$C$4/Common_Shares</f>
        <v>-1.5025293805281801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84806.435619924363</v>
      </c>
      <c r="D100" s="109">
        <f>MIN(F100*(1-C94),E100)</f>
        <v>22.650441957538057</v>
      </c>
      <c r="E100" s="109">
        <f>MAX(E97+H98+E99,0)</f>
        <v>24.029158195561799</v>
      </c>
      <c r="F100" s="109">
        <f>(E100+H100)/2</f>
        <v>26.647578773574185</v>
      </c>
      <c r="H100" s="109">
        <f>MAX(C100*Data!$C$4/Common_Shares,0)</f>
        <v>29.265999351586572</v>
      </c>
      <c r="I100" s="109">
        <f>MAX(I97+H98+H99,0)</f>
        <v>55.498928209516734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124527.52185307504</v>
      </c>
      <c r="D103" s="109">
        <f>MIN(F103*(1-C94),E103)</f>
        <v>36.52740496745951</v>
      </c>
      <c r="E103" s="123">
        <f>PV(C94,D93,0,-F94)</f>
        <v>42.973417608775897</v>
      </c>
      <c r="F103" s="109">
        <f>(E103+H103)/2</f>
        <v>42.973417608775897</v>
      </c>
      <c r="H103" s="123">
        <f>PV(C94,D93,0,-I94)</f>
        <v>42.973417608775897</v>
      </c>
      <c r="I103" s="109">
        <f>PV(C93,D93,0,-I94)</f>
        <v>60.137011133971306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97079.371236499719</v>
      </c>
      <c r="D106" s="109">
        <f>(D100+D103)/2</f>
        <v>29.588923462498784</v>
      </c>
      <c r="E106" s="123">
        <f>(E100+E103)/2</f>
        <v>33.501287902168848</v>
      </c>
      <c r="F106" s="109">
        <f>(F100+F103)/2</f>
        <v>34.810498191175043</v>
      </c>
      <c r="H106" s="123">
        <f>(H100+H103)/2</f>
        <v>36.119708480181231</v>
      </c>
      <c r="I106" s="123">
        <f>(I100+I103)/2</f>
        <v>57.817969671744024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