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199803B-5837-4890-8658-D3D2722F134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32" i="4"/>
  <c r="C32" i="4"/>
  <c r="D31" i="4"/>
  <c r="C31" i="4"/>
  <c r="D27" i="4"/>
  <c r="C27" i="4"/>
  <c r="M52" i="2"/>
  <c r="E92" i="4" l="1"/>
  <c r="F97" i="4"/>
  <c r="F96" i="4"/>
  <c r="F92" i="4"/>
  <c r="F94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<sst xmlns="http://schemas.openxmlformats.org/spreadsheetml/2006/main" count="391" uniqueCount="270">
  <si>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</si>
  <si>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</si>
  <si>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</si>
  <si>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</si>
  <si>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</si>
  <si>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</si>
  <si>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</si>
  <si>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</si>
  <si>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</si>
  <si>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</si>
  <si>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</si>
  <si>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</si>
  <si>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</si>
  <si>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</si>
  <si>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</si>
  <si>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</si>
  <si>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</si>
  <si>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</si>
  <si>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</si>
  <si>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</si>
  <si>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</si>
  <si>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</si>
  <si>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</si>
  <si>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</si>
  <si>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</si>
  <si>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</si>
  <si>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</si>
  <si>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</si>
  <si>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</si>
  <si>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</si>
  <si>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</si>
  <si>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</si>
  <si>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</si>
  <si>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</si>
  <si>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</si>
  <si>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</si>
  <si>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</si>
  <si>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</si>
  <si>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</si>
  <si>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</si>
  <si>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</si>
  <si>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</si>
  <si>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</si>
  <si>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</si>
  <si>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</si>
  <si>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</si>
  <si>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</si>
  <si>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</si>
  <si>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</si>
  <si>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</si>
  <si>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</si>
  <si>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</si>
  <si>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</si>
  <si>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</si>
  <si>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</si>
  <si>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</si>
  <si>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</si>
  <si>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</si>
  <si>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</si>
  <si>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</si>
  <si>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</si>
  <si>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</si>
  <si>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</si>
  <si>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</si>
  <si>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</si>
  <si>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</si>
  <si>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</si>
  <si>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</si>
  <si>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</si>
  <si>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</si>
  <si>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</si>
  <si>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</si>
  <si>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</si>
  <si>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</si>
  <si>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</si>
  <si>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</si>
  <si>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</si>
  <si>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</si>
  <si>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</si>
  <si>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</si>
  <si>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</si>
  <si>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</si>
  <si>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</si>
  <si>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</si>
  <si>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</si>
  <si>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</si>
  <si>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</si>
  <si>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</si>
  <si>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</si>
  <si>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</si>
  <si>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</si>
  <si>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</si>
  <si>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</si>
  <si>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</si>
  <si>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</si>
  <si>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</si>
  <si>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</si>
  <si>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</si>
  <si>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</si>
  <si>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</si>
  <si>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</si>
  <si>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</si>
  <si>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</si>
  <si>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</si>
  <si>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</si>
  <si>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</si>
  <si>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</si>
  <si>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</si>
  <si>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</si>
  <si>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</si>
  <si>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</si>
  <si>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</si>
  <si>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</si>
  <si>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</si>
  <si>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</si>
  <si>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</si>
  <si>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</si>
  <si>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</si>
  <si>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</si>
  <si>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</si>
  <si>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</si>
  <si>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</si>
  <si>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</si>
  <si>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</si>
  <si>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</si>
  <si>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</si>
  <si>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</si>
  <si>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</si>
  <si>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</si>
  <si>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</si>
  <si>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</si>
  <si>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</si>
  <si>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</si>
  <si>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</si>
  <si>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</si>
  <si>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</si>
  <si>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</si>
  <si>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</si>
  <si>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</si>
  <si>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</si>
  <si>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</si>
  <si>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</si>
  <si>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</si>
  <si>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</si>
  <si>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</si>
  <si>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</si>
  <si>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</si>
  <si>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</si>
  <si>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</si>
  <si>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</si>
  <si>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</si>
  <si>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</si>
  <si>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</si>
  <si>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</si>
  <si>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</si>
  <si>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</si>
  <si>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</si>
  <si>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</si>
  <si>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</si>
  <si>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</si>
  <si>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</si>
  <si>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</si>
  <si>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</si>
  <si>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</si>
  <si>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</si>
  <si>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</si>
  <si>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</si>
  <si>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</si>
  <si>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</si>
  <si>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</si>
  <si>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</si>
  <si>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</si>
  <si>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</si>
  <si>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</si>
  <si>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</si>
  <si>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</si>
  <si>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</si>
  <si>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</si>
  <si>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</si>
  <si>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</si>
  <si>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</si>
  <si>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</si>
  <si>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</si>
  <si>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</si>
  <si>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</si>
  <si>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</si>
  <si>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</si>
  <si>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</si>
  <si>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</si>
  <si>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</si>
  <si>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</si>
  <si>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</si>
  <si>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</si>
  <si>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</si>
  <si>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</si>
  <si>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</si>
  <si>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</si>
  <si>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</si>
  <si>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</si>
  <si>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</si>
  <si>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</si>
  <si>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</si>
  <si>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</si>
  <si>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</si>
  <si>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</si>
  <si>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</si>
  <si>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</si>
  <si>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</si>
  <si>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</si>
  <si>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</si>
  <si>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</si>
  <si>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</si>
  <si>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</si>
  <si>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</si>
  <si>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</si>
  <si>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</si>
  <si>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</si>
  <si>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</si>
  <si>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</si>
  <si>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</si>
  <si>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</si>
  <si>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</si>
  <si>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</si>
  <si>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</si>
  <si>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</si>
  <si>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</si>
  <si>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</si>
  <si>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</si>
  <si>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</si>
  <si>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</si>
  <si>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</si>
  <si>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</si>
  <si>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</si>
  <si>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</si>
  <si>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</si>
  <si>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</si>
  <si>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</si>
  <si>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</si>
  <si>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</si>
  <si>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</si>
  <si>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</si>
  <si>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</si>
  <si>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</si>
  <si>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</si>
  <si>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</si>
  <si>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</si>
  <si>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</si>
  <si>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</si>
  <si>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</si>
  <si>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</si>
  <si>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</si>
  <si>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</si>
  <si>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</si>
  <si>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</si>
  <si>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</si>
  <si>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</si>
  <si>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</si>
  <si>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</si>
  <si>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</si>
  <si>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</si>
  <si>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</si>
  <si>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</si>
  <si>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</si>
  <si>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</si>
  <si>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</si>
  <si>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0220.HK</t>
  </si>
  <si>
    <t>统一中国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</si>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</sst>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0.69530102386843873</c:v>
                </c:pt>
                <c:pt idx="1">
                  <c:v>0.25685454836897598</c:v>
                </c:pt>
                <c:pt idx="2">
                  <c:v>0</c:v>
                </c:pt>
                <c:pt idx="3">
                  <c:v>0</c:v>
                </c:pt>
                <c:pt idx="4">
                  <c:v>2.0677989446499247E-3</c:v>
                </c:pt>
                <c:pt idx="5">
                  <c:v>9.6644881579416319E-4</c:v>
                </c:pt>
                <c:pt idx="6">
                  <c:v>4.4810180002141216E-2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4319334000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28591271</v>
      </c>
      <c r="D25" s="149">
        <v>28257432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19879540</v>
      </c>
      <c r="D26" s="150">
        <v>20069515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6277942+1065856</f>
        <v>7343798</v>
      </c>
      <c r="D27" s="150">
        <f>5886596+1041026</f>
        <v>6927622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59121</v>
      </c>
      <c r="D29" s="150">
        <v>60526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2962482-3624143</f>
        <v>-661661</v>
      </c>
      <c r="D31" s="150">
        <f>2869480-2055079</f>
        <v>814401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1021274+85158</f>
        <v>1106432</v>
      </c>
      <c r="D32" s="150">
        <f>1023585+92256</f>
        <v>1115841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1078800</v>
      </c>
      <c r="D33" s="150">
        <v>545900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0.42449999999999999</v>
      </c>
      <c r="D44" s="250">
        <v>0.33950000000000002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6.0983310097816011E-2</v>
      </c>
      <c r="D45" s="152">
        <f>IF(D44="","",D44*Exchange_Rate/Dashboard!$G$3)</f>
        <v>4.8772282163035426E-2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28591271</v>
      </c>
      <c r="D91" s="209"/>
      <c r="E91" s="251">
        <f>C91</f>
        <v>28591271</v>
      </c>
      <c r="F91" s="251">
        <f>C91</f>
        <v>28591271</v>
      </c>
    </row>
    <row r="92" spans="2:8" ht="13.9" x14ac:dyDescent="0.4">
      <c r="B92" s="104" t="s">
        <v>105</v>
      </c>
      <c r="C92" s="77">
        <f>C26</f>
        <v>19879540</v>
      </c>
      <c r="D92" s="159">
        <f>C92/C91</f>
        <v>0.69530102386843873</v>
      </c>
      <c r="E92" s="252">
        <f>E91*D92</f>
        <v>19879540</v>
      </c>
      <c r="F92" s="252">
        <f>F91*D92</f>
        <v>19879540</v>
      </c>
    </row>
    <row r="93" spans="2:8" ht="13.9" x14ac:dyDescent="0.4">
      <c r="B93" s="104" t="s">
        <v>247</v>
      </c>
      <c r="C93" s="77">
        <f>C27+C28</f>
        <v>7343798</v>
      </c>
      <c r="D93" s="159">
        <f>C93/C91</f>
        <v>0.25685454836897598</v>
      </c>
      <c r="E93" s="252">
        <f>E91*D93</f>
        <v>7343798</v>
      </c>
      <c r="F93" s="252">
        <f>F91*D93</f>
        <v>7343798</v>
      </c>
    </row>
    <row r="94" spans="2:8" ht="13.9" x14ac:dyDescent="0.4">
      <c r="B94" s="104" t="s">
        <v>257</v>
      </c>
      <c r="C94" s="77">
        <f>C29</f>
        <v>59121</v>
      </c>
      <c r="D94" s="159">
        <f>C94/C91</f>
        <v>2.0677989446499247E-3</v>
      </c>
      <c r="E94" s="253"/>
      <c r="F94" s="252">
        <f>F91*D94</f>
        <v>59121</v>
      </c>
    </row>
    <row r="95" spans="2:8" ht="13.9" x14ac:dyDescent="0.4">
      <c r="B95" s="28" t="s">
        <v>246</v>
      </c>
      <c r="C95" s="77">
        <f>ABS(MAX(C33,0)-C32)</f>
        <v>27632</v>
      </c>
      <c r="D95" s="159">
        <f>C95/C91</f>
        <v>9.6644881579416319E-4</v>
      </c>
      <c r="E95" s="252">
        <f>E91*D95</f>
        <v>27632</v>
      </c>
      <c r="F95" s="252">
        <f>F91*D95</f>
        <v>27632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0.42449999999999999</v>
      </c>
      <c r="D98" s="266"/>
      <c r="E98" s="254">
        <f>F98</f>
        <v>0.42449999999999999</v>
      </c>
      <c r="F98" s="254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0220.HK</v>
      </c>
      <c r="D3" s="278"/>
      <c r="E3" s="87"/>
      <c r="F3" s="3" t="s">
        <v>1</v>
      </c>
      <c r="G3" s="132">
        <v>7.45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统一中国</v>
      </c>
      <c r="D4" s="280"/>
      <c r="E4" s="87"/>
      <c r="F4" s="3" t="s">
        <v>2</v>
      </c>
      <c r="G4" s="283">
        <f>Inputs!C10</f>
        <v>4319334000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32179.0383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0.69530102386843873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0.25685454836897598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2.0677989446499247E-3</v>
      </c>
      <c r="F24" s="140" t="s">
        <v>260</v>
      </c>
      <c r="G24" s="268">
        <f>G3/(Fin_Analysis!H86*G7)</f>
        <v>31.290469171356126</v>
      </c>
    </row>
    <row r="25" spans="1:8" ht="15.75" customHeight="1" x14ac:dyDescent="0.4">
      <c r="B25" s="137" t="s">
        <v>243</v>
      </c>
      <c r="C25" s="171">
        <f>Fin_Analysis!I82</f>
        <v>9.6644881579416319E-4</v>
      </c>
      <c r="F25" s="140" t="s">
        <v>174</v>
      </c>
      <c r="G25" s="171">
        <f>Fin_Analysis!I88</f>
        <v>1.9081963845829624</v>
      </c>
    </row>
    <row r="26" spans="1:8" ht="15.75" customHeight="1" x14ac:dyDescent="0.4">
      <c r="B26" s="138" t="s">
        <v>173</v>
      </c>
      <c r="C26" s="171">
        <f>Fin_Analysis!I83</f>
        <v>4.4810180002141216E-2</v>
      </c>
      <c r="F26" s="141" t="s">
        <v>193</v>
      </c>
      <c r="G26" s="178">
        <f>Fin_Analysis!H88*Exchange_Rate/G3</f>
        <v>6.0983310097816011E-2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1.946390373677829</v>
      </c>
      <c r="D29" s="129">
        <f>G29*(1+G20)</f>
        <v>3.5964515028493409</v>
      </c>
      <c r="E29" s="87"/>
      <c r="F29" s="131">
        <f>IF(Fin_Analysis!C108="Profit",Fin_Analysis!F100,IF(Fin_Analysis!C108="Dividend",Fin_Analysis!F103,Fin_Analysis!F106))</f>
        <v>2.2898710278562695</v>
      </c>
      <c r="G29" s="274">
        <f>IF(Fin_Analysis!C108="Profit",Fin_Analysis!I100,IF(Fin_Analysis!C108="Dividend",Fin_Analysis!I103,Fin_Analysis!I106))</f>
        <v>3.1273491329124705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28591271</v>
      </c>
      <c r="D6" s="200">
        <f>IF(Inputs!D25="","",Inputs!D25)</f>
        <v>28257432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19879540</v>
      </c>
      <c r="D8" s="199">
        <f>IF(Inputs!D26="","",Inputs!D26)</f>
        <v>20069515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8711731</v>
      </c>
      <c r="D9" s="151">
        <f t="shared" si="2"/>
        <v>8187917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7343798</v>
      </c>
      <c r="D10" s="199">
        <f>IF(Inputs!D27="","",Inputs!D27)</f>
        <v>6927622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4.7844427762585302E-2</v>
      </c>
      <c r="D13" s="229">
        <f t="shared" si="3"/>
        <v>4.4600478911176356E-2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1367933</v>
      </c>
      <c r="D14" s="230">
        <f t="shared" ref="D14:M14" si="4">IF(D6="","",D9-D10-MAX(D11,0)-MAX(D12,0))</f>
        <v>1260295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8.5406988046449445E-2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-661661</v>
      </c>
      <c r="D16" s="199">
        <f>IF(Inputs!D31="","",Inputs!D31)</f>
        <v>814401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59121</v>
      </c>
      <c r="D17" s="199">
        <f>IF(Inputs!D29="","",Inputs!D29)</f>
        <v>60526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3.8698244649564548E-2</v>
      </c>
      <c r="D18" s="152">
        <f t="shared" si="6"/>
        <v>3.9488407863814377E-2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1106432</v>
      </c>
      <c r="D19" s="199">
        <f>IF(Inputs!D32="","",Inputs!D32)</f>
        <v>1115841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3.7731795833770385E-2</v>
      </c>
      <c r="D20" s="152">
        <f t="shared" si="7"/>
        <v>1.9318811419240078E-2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1078800</v>
      </c>
      <c r="D21" s="199">
        <f>IF(Inputs!D33="","",Inputs!D33)</f>
        <v>545900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1281180</v>
      </c>
      <c r="D22" s="161">
        <f t="shared" ref="D22:M22" si="8">IF(D6="","",D14-MAX(D16,0)-MAX(D17,0)-ABS(MAX(D21,0)-MAX(D19,0)))</f>
        <v>-184573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3.3607635001605907E-2</v>
      </c>
      <c r="D23" s="153">
        <f t="shared" si="9"/>
        <v>-4.8988793461486524E-3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0.69530102386843873</v>
      </c>
      <c r="D42" s="156">
        <f t="shared" si="34"/>
        <v>0.71023846045174943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0.25685454836897598</v>
      </c>
      <c r="D43" s="153">
        <f t="shared" si="35"/>
        <v>0.24516106063707416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2.882077182385151E-2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2.0677989446499247E-3</v>
      </c>
      <c r="D45" s="153">
        <f t="shared" si="37"/>
        <v>2.1419497709487543E-3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9.6644881579416319E-4</v>
      </c>
      <c r="D47" s="153">
        <f t="shared" ref="D47:M47" si="39">IF(D6="","",ABS(MAX(D21,0)-MAX(D19,0))/D6)</f>
        <v>2.0169596444574299E-2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4.4810180002141216E-2</v>
      </c>
      <c r="D48" s="153">
        <f t="shared" si="40"/>
        <v>-6.5318391281982031E-3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-1.9819763418893539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4.6145740645342576E-2</v>
      </c>
      <c r="D56" s="153">
        <f t="shared" si="46"/>
        <v>-0.32792445265558884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28591271</v>
      </c>
      <c r="D74" s="209"/>
      <c r="E74" s="238">
        <f>Inputs!E91</f>
        <v>28591271</v>
      </c>
      <c r="F74" s="209"/>
      <c r="H74" s="238">
        <f>Inputs!F91</f>
        <v>28591271</v>
      </c>
      <c r="I74" s="209"/>
      <c r="K74" s="24"/>
    </row>
    <row r="75" spans="1:11" ht="15" customHeight="1" x14ac:dyDescent="0.4">
      <c r="B75" s="104" t="s">
        <v>105</v>
      </c>
      <c r="C75" s="77">
        <f>Data!C8</f>
        <v>19879540</v>
      </c>
      <c r="D75" s="159">
        <f>C75/$C$74</f>
        <v>0.69530102386843873</v>
      </c>
      <c r="E75" s="238">
        <f>Inputs!E92</f>
        <v>19879540</v>
      </c>
      <c r="F75" s="160">
        <f>E75/E74</f>
        <v>0.69530102386843873</v>
      </c>
      <c r="H75" s="238">
        <f>Inputs!F92</f>
        <v>19879540</v>
      </c>
      <c r="I75" s="160">
        <f>H75/$H$74</f>
        <v>0.69530102386843873</v>
      </c>
      <c r="K75" s="24"/>
    </row>
    <row r="76" spans="1:11" ht="15" customHeight="1" x14ac:dyDescent="0.4">
      <c r="B76" s="35" t="s">
        <v>95</v>
      </c>
      <c r="C76" s="161">
        <f>C74-C75</f>
        <v>8711731</v>
      </c>
      <c r="D76" s="210"/>
      <c r="E76" s="162">
        <f>E74-E75</f>
        <v>8711731</v>
      </c>
      <c r="F76" s="210"/>
      <c r="H76" s="162">
        <f>H74-H75</f>
        <v>8711731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7343798</v>
      </c>
      <c r="D77" s="159">
        <f>C77/$C$74</f>
        <v>0.25685454836897598</v>
      </c>
      <c r="E77" s="238">
        <f>Inputs!E93</f>
        <v>7343798</v>
      </c>
      <c r="F77" s="160">
        <f>E77/E74</f>
        <v>0.25685454836897598</v>
      </c>
      <c r="H77" s="238">
        <f>Inputs!F93</f>
        <v>7343798</v>
      </c>
      <c r="I77" s="160">
        <f>H77/$H$74</f>
        <v>0.25685454836897598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1367933</v>
      </c>
      <c r="D79" s="258">
        <f>C79/C74</f>
        <v>4.7844427762585302E-2</v>
      </c>
      <c r="E79" s="259">
        <f>E76-E77-E78</f>
        <v>1367933</v>
      </c>
      <c r="F79" s="258">
        <f>E79/E74</f>
        <v>4.7844427762585302E-2</v>
      </c>
      <c r="G79" s="260"/>
      <c r="H79" s="259">
        <f>H76-H77-H78</f>
        <v>1367933</v>
      </c>
      <c r="I79" s="258">
        <f>H79/H74</f>
        <v>4.7844427762585302E-2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59121</v>
      </c>
      <c r="D81" s="159">
        <f>C81/$C$74</f>
        <v>2.0677989446499247E-3</v>
      </c>
      <c r="E81" s="180">
        <f>E74*F81</f>
        <v>59121</v>
      </c>
      <c r="F81" s="160">
        <f>I81</f>
        <v>2.0677989446499247E-3</v>
      </c>
      <c r="H81" s="238">
        <f>Inputs!F94</f>
        <v>59121</v>
      </c>
      <c r="I81" s="160">
        <f>H81/$H$74</f>
        <v>2.0677989446499247E-3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27632</v>
      </c>
      <c r="D82" s="159">
        <f>C82/$C$74</f>
        <v>9.6644881579416319E-4</v>
      </c>
      <c r="E82" s="238">
        <f>Inputs!E95</f>
        <v>27632</v>
      </c>
      <c r="F82" s="160">
        <f>E82/E74</f>
        <v>9.6644881579416319E-4</v>
      </c>
      <c r="H82" s="238">
        <f>Inputs!F95</f>
        <v>27632</v>
      </c>
      <c r="I82" s="160">
        <f>H82/$H$74</f>
        <v>9.6644881579416319E-4</v>
      </c>
      <c r="K82" s="24"/>
    </row>
    <row r="83" spans="1:11" ht="15" customHeight="1" thickBot="1" x14ac:dyDescent="0.45">
      <c r="B83" s="105" t="s">
        <v>125</v>
      </c>
      <c r="C83" s="163">
        <f>C79-C81-C82-C80</f>
        <v>1281180</v>
      </c>
      <c r="D83" s="164">
        <f>C83/$C$74</f>
        <v>4.4810180002141216E-2</v>
      </c>
      <c r="E83" s="165">
        <f>E79-E81-E82-E80</f>
        <v>1281180</v>
      </c>
      <c r="F83" s="164">
        <f>E83/E74</f>
        <v>4.4810180002141216E-2</v>
      </c>
      <c r="H83" s="165">
        <f>H79-H81-H82-H80</f>
        <v>1281180</v>
      </c>
      <c r="I83" s="164">
        <f>H83/$H$74</f>
        <v>4.4810180002141216E-2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960885</v>
      </c>
      <c r="D85" s="258">
        <f>C85/$C$74</f>
        <v>3.3607635001605907E-2</v>
      </c>
      <c r="E85" s="264">
        <f>E83*(1-F84)</f>
        <v>960885</v>
      </c>
      <c r="F85" s="258">
        <f>E85/E74</f>
        <v>3.3607635001605907E-2</v>
      </c>
      <c r="G85" s="260"/>
      <c r="H85" s="264">
        <f>H83*(1-I84)</f>
        <v>960885</v>
      </c>
      <c r="I85" s="258">
        <f>H85/$H$74</f>
        <v>3.3607635001605907E-2</v>
      </c>
      <c r="K85" s="24"/>
    </row>
    <row r="86" spans="1:11" ht="15" customHeight="1" x14ac:dyDescent="0.4">
      <c r="B86" s="87" t="s">
        <v>160</v>
      </c>
      <c r="C86" s="167">
        <f>C85*Data!C4/Common_Shares</f>
        <v>0.22246137946266717</v>
      </c>
      <c r="D86" s="209"/>
      <c r="E86" s="168">
        <f>E85*Data!C4/Common_Shares</f>
        <v>0.22246137946266717</v>
      </c>
      <c r="F86" s="209"/>
      <c r="H86" s="168">
        <f>H85*Data!C4/Common_Shares</f>
        <v>0.22246137946266717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3.1958613165040638E-2</v>
      </c>
      <c r="D87" s="209"/>
      <c r="E87" s="262">
        <f>E86*Exchange_Rate/Dashboard!G3</f>
        <v>3.1958613165040638E-2</v>
      </c>
      <c r="F87" s="209"/>
      <c r="H87" s="262">
        <f>H86*Exchange_Rate/Dashboard!G3</f>
        <v>3.1958613165040638E-2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0.42449999999999999</v>
      </c>
      <c r="D88" s="166">
        <f>C88/C86</f>
        <v>1.9081963845829624</v>
      </c>
      <c r="E88" s="170">
        <f>Inputs!E98</f>
        <v>0.42449999999999999</v>
      </c>
      <c r="F88" s="166">
        <f>E88/E86</f>
        <v>1.9081963845829624</v>
      </c>
      <c r="H88" s="170">
        <f>Inputs!F98</f>
        <v>0.42449999999999999</v>
      </c>
      <c r="I88" s="166">
        <f>H88/H86</f>
        <v>1.9081963845829624</v>
      </c>
      <c r="K88" s="24"/>
    </row>
    <row r="89" spans="1:11" ht="15" customHeight="1" x14ac:dyDescent="0.4">
      <c r="B89" s="87" t="s">
        <v>221</v>
      </c>
      <c r="C89" s="261">
        <f>C88*Exchange_Rate/Dashboard!G3</f>
        <v>6.0983310097816011E-2</v>
      </c>
      <c r="D89" s="209"/>
      <c r="E89" s="261">
        <f>E88*Exchange_Rate/Dashboard!G3</f>
        <v>6.0983310097816011E-2</v>
      </c>
      <c r="F89" s="209"/>
      <c r="H89" s="261">
        <f>H88*Exchange_Rate/Dashboard!G3</f>
        <v>6.0983310097816011E-2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4.6057485503267186</v>
      </c>
      <c r="H93" s="87" t="s">
        <v>209</v>
      </c>
      <c r="I93" s="144">
        <f>FV(H87,D93,0,-(H86/(C93-D94)))*Exchange_Rate</f>
        <v>4.6057485503267186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10.096123466004075</v>
      </c>
      <c r="H94" s="87" t="s">
        <v>210</v>
      </c>
      <c r="I94" s="144">
        <f>FV(H89,D93,0,-(H88/(C93-D94)))*Exchange_Rate</f>
        <v>10.096123466004075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9890717.7862345316</v>
      </c>
      <c r="D97" s="213"/>
      <c r="E97" s="123">
        <f>PV(C94,D93,0,-F93)</f>
        <v>2.2898710278562695</v>
      </c>
      <c r="F97" s="213"/>
      <c r="H97" s="123">
        <f>PV(C94,D93,0,-I93)</f>
        <v>2.2898710278562695</v>
      </c>
      <c r="I97" s="123">
        <f>PV(C93,D93,0,-I93)</f>
        <v>3.1273491329124705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9890717.7862345316</v>
      </c>
      <c r="D100" s="109">
        <f>MIN(F100*(1-C94),E100)</f>
        <v>1.946390373677829</v>
      </c>
      <c r="E100" s="109">
        <f>MAX(E97+H98+E99,0)</f>
        <v>2.2898710278562695</v>
      </c>
      <c r="F100" s="109">
        <f>(E100+H100)/2</f>
        <v>2.2898710278562695</v>
      </c>
      <c r="H100" s="109">
        <f>MAX(C100*Data!$C$4/Common_Shares,0)</f>
        <v>2.2898710278562695</v>
      </c>
      <c r="I100" s="109">
        <f>MAX(I97+H98+H99,0)</f>
        <v>3.1273491329124705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21681146.255833417</v>
      </c>
      <c r="D103" s="109">
        <f>MIN(F103*(1-C94),E103)</f>
        <v>4.2666240483969062</v>
      </c>
      <c r="E103" s="123">
        <f>PV(C94,D93,0,-F94)</f>
        <v>5.0195577039963606</v>
      </c>
      <c r="F103" s="109">
        <f>(E103+H103)/2</f>
        <v>5.0195577039963606</v>
      </c>
      <c r="H103" s="123">
        <f>PV(C94,D93,0,-I94)</f>
        <v>5.0195577039963606</v>
      </c>
      <c r="I103" s="109">
        <f>PV(C93,D93,0,-I94)</f>
        <v>6.8553683776213346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15785932.021033976</v>
      </c>
      <c r="D106" s="109">
        <f>(D100+D103)/2</f>
        <v>3.1065072110373677</v>
      </c>
      <c r="E106" s="123">
        <f>(E100+E103)/2</f>
        <v>3.6547143659263153</v>
      </c>
      <c r="F106" s="109">
        <f>(F100+F103)/2</f>
        <v>3.6547143659263153</v>
      </c>
      <c r="H106" s="123">
        <f>(H100+H103)/2</f>
        <v>3.6547143659263153</v>
      </c>
      <c r="I106" s="123">
        <f>(I100+I103)/2</f>
        <v>4.9913587552669023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