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60B00F6-D78F-4921-8E53-C158DA1BB13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E93" i="4"/>
  <c r="F91" i="4"/>
  <c r="F92" i="4" s="1"/>
  <c r="E91" i="4"/>
  <c r="E95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M52" i="2"/>
  <c r="F95" i="4" l="1"/>
  <c r="F96" i="4"/>
  <c r="E92" i="4"/>
  <c r="F97" i="4"/>
  <c r="F9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<sst xmlns="http://schemas.openxmlformats.org/spreadsheetml/2006/main" count="391" uniqueCount="270">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</sst>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30598124345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372597</v>
      </c>
      <c r="D25" s="149">
        <v>354944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11294+C29+60026+62939+36403+102123</f>
        <v>274766</v>
      </c>
      <c r="D27" s="150">
        <f>10947+D29+56425+60726+34720+92957</f>
        <v>256870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1981</v>
      </c>
      <c r="D29" s="150">
        <v>1095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196</v>
      </c>
      <c r="D30" s="150">
        <v>92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84847</v>
      </c>
      <c r="D32" s="150">
        <v>86829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C30</f>
        <v>196</v>
      </c>
      <c r="D33" s="150">
        <f>D30</f>
        <v>92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54881+12342+1205</f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181715+185621+5628+55387+156018+32020+37213+141559</f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263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35301+44439</f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372597</v>
      </c>
      <c r="D91" s="209"/>
      <c r="E91" s="251">
        <f>C91</f>
        <v>372597</v>
      </c>
      <c r="F91" s="251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59">
        <f>C93/C91</f>
        <v>0.73743481563190261</v>
      </c>
      <c r="E93" s="252">
        <f>E91*D93</f>
        <v>274766</v>
      </c>
      <c r="F93" s="252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59">
        <f>C94/C91</f>
        <v>5.3167363129601151E-3</v>
      </c>
      <c r="E94" s="253"/>
      <c r="F94" s="252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59">
        <f>C95/C91</f>
        <v>0.22719184534497058</v>
      </c>
      <c r="E95" s="252">
        <f>E91*D95</f>
        <v>84651</v>
      </c>
      <c r="F95" s="252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59">
        <f>C97/C91</f>
        <v>7.0138335341758879E-4</v>
      </c>
      <c r="E97" s="253"/>
      <c r="F97" s="252">
        <f>F91*D97</f>
        <v>261.33333333333331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0762.HK</v>
      </c>
      <c r="D3" s="278"/>
      <c r="E3" s="87"/>
      <c r="F3" s="3" t="s">
        <v>1</v>
      </c>
      <c r="G3" s="132">
        <v>6.84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中国联通</v>
      </c>
      <c r="D4" s="280"/>
      <c r="E4" s="87"/>
      <c r="F4" s="3" t="s">
        <v>2</v>
      </c>
      <c r="G4" s="283">
        <f>Inputs!C10</f>
        <v>30598124345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209291.17051979998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C0010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0.14130787135683709</v>
      </c>
    </row>
    <row r="24" spans="1:8" ht="15.75" customHeight="1" x14ac:dyDescent="0.4">
      <c r="B24" s="137" t="s">
        <v>170</v>
      </c>
      <c r="C24" s="171">
        <f>Fin_Analysis!I81</f>
        <v>5.3167363129601151E-3</v>
      </c>
      <c r="F24" s="140" t="s">
        <v>260</v>
      </c>
      <c r="G24" s="268">
        <f>G3/(Fin_Analysis!H86*G7)</f>
        <v>23.838305869833867</v>
      </c>
    </row>
    <row r="25" spans="1:8" ht="15.75" customHeight="1" x14ac:dyDescent="0.4">
      <c r="B25" s="137" t="s">
        <v>243</v>
      </c>
      <c r="C25" s="171">
        <f>Fin_Analysis!I82</f>
        <v>0.22719184534497058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2.9355219356749174E-2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2.3328449567535094</v>
      </c>
      <c r="D29" s="129">
        <f>G29*(1+G20)</f>
        <v>4.3741516418079192</v>
      </c>
      <c r="E29" s="87"/>
      <c r="F29" s="131">
        <f>IF(Fin_Analysis!C108="Profit",Fin_Analysis!F100,IF(Fin_Analysis!C108="Dividend",Fin_Analysis!F103,Fin_Analysis!F106))</f>
        <v>2.7445234785335404</v>
      </c>
      <c r="G29" s="274">
        <f>IF(Fin_Analysis!C108="Profit",Fin_Analysis!I100,IF(Fin_Analysis!C108="Dividend",Fin_Analysis!I103,Fin_Analysis!I106))</f>
        <v>3.803610123311234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372597</v>
      </c>
      <c r="D6" s="200">
        <f>IF(Inputs!D25="","",Inputs!D25)</f>
        <v>354944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372597</v>
      </c>
      <c r="D9" s="151">
        <f t="shared" si="2"/>
        <v>354944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274766</v>
      </c>
      <c r="D10" s="199">
        <f>IF(Inputs!D27="","",Inputs!D27)</f>
        <v>256870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261.33333333333331</v>
      </c>
      <c r="D12" s="199">
        <f>IF(Inputs!D30="","",MAX(Inputs!D30,0)/(1-Fin_Analysis!$I$84))</f>
        <v>122.66666666666667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0.26186380101467988</v>
      </c>
      <c r="D13" s="229">
        <f t="shared" si="3"/>
        <v>0.27596278098329124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97569.666666666672</v>
      </c>
      <c r="D14" s="230">
        <f t="shared" ref="D14:M14" si="4">IF(D6="","",D9-D10-MAX(D11,0)-MAX(D12,0))</f>
        <v>97951.333333333328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-3.8964928161603074E-3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1981</v>
      </c>
      <c r="D17" s="199">
        <f>IF(Inputs!D29="","",Inputs!D29)</f>
        <v>1095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0.22771788286003378</v>
      </c>
      <c r="D18" s="152">
        <f t="shared" si="6"/>
        <v>0.2446273214929679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84847</v>
      </c>
      <c r="D19" s="199">
        <f>IF(Inputs!D32="","",Inputs!D32)</f>
        <v>86829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5.2603751506319157E-4</v>
      </c>
      <c r="D20" s="152">
        <f t="shared" si="7"/>
        <v>2.5919581680490446E-4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196</v>
      </c>
      <c r="D21" s="199">
        <f>IF(Inputs!D33="","",Inputs!D33)</f>
        <v>92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10937.666666666672</v>
      </c>
      <c r="D22" s="161">
        <f t="shared" ref="D22:M22" si="8">IF(D6="","",D14-MAX(D16,0)-MAX(D17,0)-ABS(MAX(D21,0)-MAX(D19,0)))</f>
        <v>10119.333333333328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2.201641451756188E-2</v>
      </c>
      <c r="D23" s="153">
        <f t="shared" si="9"/>
        <v>2.1382246213487187E-2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8.0868304894921611E-2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8.1030660594121687E-2</v>
      </c>
      <c r="D40" s="155">
        <f>IF(D6="","",D14/MAX(D39,0))</f>
        <v>8.1796793754077946E-2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0.73743481563190261</v>
      </c>
      <c r="D43" s="153">
        <f t="shared" si="35"/>
        <v>0.72369162459430225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5.3167363129601151E-3</v>
      </c>
      <c r="D45" s="153">
        <f t="shared" si="37"/>
        <v>3.0849936891453301E-3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7.0138335341758879E-4</v>
      </c>
      <c r="D46" s="153">
        <f t="shared" ref="D46:M46" si="38">IF(D6="","",MAX(D12,0)/D6)</f>
        <v>3.4559442240653928E-4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0.22719184534497058</v>
      </c>
      <c r="D47" s="153">
        <f t="shared" ref="D47:M47" si="39">IF(D6="","",ABS(MAX(D21,0)-MAX(D19,0))/D6)</f>
        <v>0.24436812567616301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2.9355219356749174E-2</v>
      </c>
      <c r="D48" s="153">
        <f t="shared" si="40"/>
        <v>2.8509661617982917E-2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0.27090663639267087</v>
      </c>
      <c r="D50" s="156">
        <f t="shared" si="41"/>
        <v>0.19278534078615217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3.3859639234883804E-2</v>
      </c>
      <c r="D51" s="153">
        <f t="shared" si="42"/>
        <v>3.3881401009736745E-2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0.31546091797268211</v>
      </c>
      <c r="D54" s="156">
        <f t="shared" ref="D54:M54" si="44">IF(D36="","",(D27-D36)/D27)</f>
        <v>0.32452750272625946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0.11432702693285954</v>
      </c>
      <c r="D55" s="157">
        <f t="shared" si="45"/>
        <v>9.8308948776238456E-2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0.18111724011824573</v>
      </c>
      <c r="D56" s="153">
        <f t="shared" si="46"/>
        <v>0.10820870940114637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0.96378562214143304</v>
      </c>
      <c r="D57" s="158">
        <f t="shared" si="47"/>
        <v>0.89175655474295745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-25339.652486276653</v>
      </c>
      <c r="E6" s="56">
        <f>1-D6/D3</f>
        <v>1.0183107306300501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09"/>
      <c r="E74" s="238">
        <f>Inputs!E91</f>
        <v>372597</v>
      </c>
      <c r="F74" s="209"/>
      <c r="H74" s="238">
        <f>Inputs!F91</f>
        <v>372597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372597</v>
      </c>
      <c r="D76" s="210"/>
      <c r="E76" s="162">
        <f>E74-E75</f>
        <v>372597</v>
      </c>
      <c r="F76" s="210"/>
      <c r="H76" s="162">
        <f>H74-H75</f>
        <v>372597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59">
        <f>C77/$C$74</f>
        <v>0.73743481563190261</v>
      </c>
      <c r="E77" s="238">
        <f>Inputs!E93</f>
        <v>274766</v>
      </c>
      <c r="F77" s="160">
        <f>E77/E74</f>
        <v>0.73743481563190261</v>
      </c>
      <c r="H77" s="238">
        <f>Inputs!F93</f>
        <v>274766</v>
      </c>
      <c r="I77" s="160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59">
        <f>C78/$C$74</f>
        <v>7.0138335341758879E-4</v>
      </c>
      <c r="E78" s="180">
        <f>E74*F78</f>
        <v>261.33333333333331</v>
      </c>
      <c r="F78" s="160">
        <f>I78</f>
        <v>7.0138335341758879E-4</v>
      </c>
      <c r="H78" s="238">
        <f>Inputs!F97</f>
        <v>261.33333333333331</v>
      </c>
      <c r="I78" s="160">
        <f>H78/$H$74</f>
        <v>7.0138335341758879E-4</v>
      </c>
      <c r="K78" s="24"/>
    </row>
    <row r="79" spans="1:11" ht="15" customHeight="1" x14ac:dyDescent="0.4">
      <c r="B79" s="256" t="s">
        <v>232</v>
      </c>
      <c r="C79" s="257">
        <f>C76-C77-C78</f>
        <v>97569.666666666672</v>
      </c>
      <c r="D79" s="258">
        <f>C79/C74</f>
        <v>0.26186380101467988</v>
      </c>
      <c r="E79" s="259">
        <f>E76-E77-E78</f>
        <v>97569.666666666672</v>
      </c>
      <c r="F79" s="258">
        <f>E79/E74</f>
        <v>0.26186380101467988</v>
      </c>
      <c r="G79" s="260"/>
      <c r="H79" s="259">
        <f>H76-H77-H78</f>
        <v>97569.666666666672</v>
      </c>
      <c r="I79" s="258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59">
        <f>C81/$C$74</f>
        <v>5.3167363129601151E-3</v>
      </c>
      <c r="E81" s="180">
        <f>E74*F81</f>
        <v>1981</v>
      </c>
      <c r="F81" s="160">
        <f>I81</f>
        <v>5.3167363129601151E-3</v>
      </c>
      <c r="H81" s="238">
        <f>Inputs!F94</f>
        <v>1981</v>
      </c>
      <c r="I81" s="160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59">
        <f>C82/$C$74</f>
        <v>0.22719184534497058</v>
      </c>
      <c r="E82" s="238">
        <f>Inputs!E95</f>
        <v>84651</v>
      </c>
      <c r="F82" s="160">
        <f>E82/E74</f>
        <v>0.22719184534497058</v>
      </c>
      <c r="H82" s="238">
        <f>Inputs!F95</f>
        <v>84651</v>
      </c>
      <c r="I82" s="160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3">
        <f>C79-C81-C82-C80</f>
        <v>10937.666666666672</v>
      </c>
      <c r="D83" s="164">
        <f>C83/$C$74</f>
        <v>2.9355219356749174E-2</v>
      </c>
      <c r="E83" s="165">
        <f>E79-E81-E82-E80</f>
        <v>10937.666666666672</v>
      </c>
      <c r="F83" s="164">
        <f>E83/E74</f>
        <v>2.9355219356749174E-2</v>
      </c>
      <c r="H83" s="165">
        <f>H79-H81-H82-H80</f>
        <v>10937.666666666672</v>
      </c>
      <c r="I83" s="164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8203.2500000000036</v>
      </c>
      <c r="D85" s="258">
        <f>C85/$C$74</f>
        <v>2.201641451756188E-2</v>
      </c>
      <c r="E85" s="264">
        <f>E83*(1-F84)</f>
        <v>8203.2500000000036</v>
      </c>
      <c r="F85" s="258">
        <f>E85/E74</f>
        <v>2.201641451756188E-2</v>
      </c>
      <c r="G85" s="260"/>
      <c r="H85" s="264">
        <f>H83*(1-I84)</f>
        <v>8203.2500000000036</v>
      </c>
      <c r="I85" s="258">
        <f>H85/$H$74</f>
        <v>2.201641451756188E-2</v>
      </c>
      <c r="K85" s="24"/>
    </row>
    <row r="86" spans="1:11" ht="15" customHeight="1" x14ac:dyDescent="0.4">
      <c r="B86" s="87" t="s">
        <v>160</v>
      </c>
      <c r="C86" s="167">
        <f>C85*Data!C4/Common_Shares</f>
        <v>0.26809649857967477</v>
      </c>
      <c r="D86" s="209"/>
      <c r="E86" s="168">
        <f>E85*Data!C4/Common_Shares</f>
        <v>0.26809649857967477</v>
      </c>
      <c r="F86" s="209"/>
      <c r="H86" s="168">
        <f>H85*Data!C4/Common_Shares</f>
        <v>0.26809649857967477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4.1949289746527153E-2</v>
      </c>
      <c r="D87" s="209"/>
      <c r="E87" s="262">
        <f>E86*Exchange_Rate/Dashboard!G3</f>
        <v>4.1949289746527153E-2</v>
      </c>
      <c r="F87" s="209"/>
      <c r="H87" s="262">
        <f>H86*Exchange_Rate/Dashboard!G3</f>
        <v>4.1949289746527153E-2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5.8244946935393704</v>
      </c>
      <c r="H93" s="87" t="s">
        <v>209</v>
      </c>
      <c r="I93" s="144">
        <f>FV(H87,D93,0,-(H86/(C93-D94)))*Exchange_Rate</f>
        <v>5.8244946935393704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88606.148120924132</v>
      </c>
      <c r="D97" s="213"/>
      <c r="E97" s="123">
        <f>PV(C94,D93,0,-F93)</f>
        <v>2.8958032564961176</v>
      </c>
      <c r="F97" s="213"/>
      <c r="H97" s="123">
        <f>PV(C94,D93,0,-I93)</f>
        <v>2.8958032564961176</v>
      </c>
      <c r="I97" s="123">
        <f>PV(C93,D93,0,-I93)</f>
        <v>3.9548899012738112</v>
      </c>
      <c r="K97" s="24"/>
    </row>
    <row r="98" spans="2:11" ht="15" customHeight="1" x14ac:dyDescent="0.4">
      <c r="B98" s="28" t="s">
        <v>144</v>
      </c>
      <c r="C98" s="91">
        <f>-E53*Exchange_Rate</f>
        <v>-4628.8774569829311</v>
      </c>
      <c r="D98" s="213"/>
      <c r="E98" s="213"/>
      <c r="F98" s="213"/>
      <c r="H98" s="123">
        <f>C98*Data!$C$4/Common_Shares</f>
        <v>-0.1512797779625773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83977.270663941206</v>
      </c>
      <c r="D100" s="109">
        <f>MIN(F100*(1-C94),E100)</f>
        <v>2.3328449567535094</v>
      </c>
      <c r="E100" s="109">
        <f>MAX(E97+H98+E99,0)</f>
        <v>2.7445234785335404</v>
      </c>
      <c r="F100" s="109">
        <f>(E100+H100)/2</f>
        <v>2.7445234785335404</v>
      </c>
      <c r="H100" s="109">
        <f>MAX(C100*Data!$C$4/Common_Shares,0)</f>
        <v>2.7445234785335404</v>
      </c>
      <c r="I100" s="109">
        <f>MAX(I97+H98+H99,0)</f>
        <v>3.803610123311234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41988.635331970603</v>
      </c>
      <c r="D106" s="109">
        <f>(D100+D103)/2</f>
        <v>1.1664224783767547</v>
      </c>
      <c r="E106" s="123">
        <f>(E100+E103)/2</f>
        <v>1.3722617392667702</v>
      </c>
      <c r="F106" s="109">
        <f>(F100+F103)/2</f>
        <v>1.3722617392667702</v>
      </c>
      <c r="H106" s="123">
        <f>(H100+H103)/2</f>
        <v>1.3722617392667702</v>
      </c>
      <c r="I106" s="123">
        <f>(I100+I103)/2</f>
        <v>1.901805061655617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