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88C6CDC-6C0A-4349-BF5A-61CBAADC61F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E93" i="4"/>
  <c r="F92" i="4"/>
  <c r="E92" i="4"/>
  <c r="F91" i="4"/>
  <c r="F97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3" i="4" l="1"/>
  <c r="F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H52" i="2"/>
  <c r="I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L14" i="2" s="1"/>
  <c r="I9" i="2"/>
  <c r="I14" i="2" s="1"/>
  <c r="I22" i="2" s="1"/>
  <c r="D7" i="2"/>
  <c r="K9" i="2"/>
  <c r="K14" i="2" s="1"/>
  <c r="J9" i="2"/>
  <c r="J14" i="2" s="1"/>
  <c r="J22" i="2" s="1"/>
  <c r="E102" i="3"/>
  <c r="H102" i="3"/>
  <c r="C93" i="3"/>
  <c r="I94" i="3" s="1"/>
  <c r="K15" i="2" l="1"/>
  <c r="L22" i="2"/>
  <c r="J15" i="2"/>
  <c r="K22" i="2"/>
  <c r="H103" i="3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<sst xmlns="http://schemas.openxmlformats.org/spreadsheetml/2006/main" count="391" uniqueCount="274">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</sst>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183020977818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269</v>
      </c>
      <c r="D17" s="24"/>
    </row>
    <row r="18" spans="2:13" ht="13.9" x14ac:dyDescent="0.4">
      <c r="B18" s="240" t="s">
        <v>238</v>
      </c>
      <c r="C18" s="242" t="s">
        <v>270</v>
      </c>
      <c r="D18" s="24"/>
    </row>
    <row r="19" spans="2:13" ht="13.9" x14ac:dyDescent="0.4">
      <c r="B19" s="240" t="s">
        <v>239</v>
      </c>
      <c r="C19" s="242" t="s">
        <v>271</v>
      </c>
      <c r="D19" s="24"/>
    </row>
    <row r="20" spans="2:13" ht="13.9" x14ac:dyDescent="0.4">
      <c r="B20" s="241" t="s">
        <v>228</v>
      </c>
      <c r="C20" s="242" t="s">
        <v>270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272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3011012</v>
      </c>
      <c r="D25" s="149">
        <v>3239167</v>
      </c>
      <c r="E25" s="149">
        <v>2614349</v>
      </c>
      <c r="F25" s="149">
        <v>1933836</v>
      </c>
      <c r="G25" s="149">
        <v>2516810</v>
      </c>
      <c r="H25" s="149">
        <v>2374934</v>
      </c>
      <c r="I25" s="149">
        <v>2015890</v>
      </c>
      <c r="J25" s="149">
        <v>1616903</v>
      </c>
      <c r="K25" s="149">
        <v>1725428</v>
      </c>
      <c r="L25" s="149">
        <v>2282962</v>
      </c>
      <c r="M25" s="149"/>
    </row>
    <row r="26" spans="2:13" ht="13.9" x14ac:dyDescent="0.4">
      <c r="B26" s="97" t="s">
        <v>105</v>
      </c>
      <c r="C26" s="150">
        <v>2597400</v>
      </c>
      <c r="D26" s="150">
        <v>2804756</v>
      </c>
      <c r="E26" s="150">
        <v>2298168</v>
      </c>
      <c r="F26" s="150">
        <v>1741508</v>
      </c>
      <c r="G26" s="150">
        <v>2229308</v>
      </c>
      <c r="H26" s="150">
        <v>2058853</v>
      </c>
      <c r="I26" s="150">
        <v>1780340</v>
      </c>
      <c r="J26" s="150">
        <v>1423553</v>
      </c>
      <c r="K26" s="150">
        <v>1500674</v>
      </c>
      <c r="L26" s="150">
        <v>1963128</v>
      </c>
      <c r="M26" s="150"/>
    </row>
    <row r="27" spans="2:13" ht="13.9" x14ac:dyDescent="0.4">
      <c r="B27" s="97" t="s">
        <v>103</v>
      </c>
      <c r="C27" s="150">
        <v>125283</v>
      </c>
      <c r="D27" s="150">
        <v>118875</v>
      </c>
      <c r="E27" s="150">
        <v>122996</v>
      </c>
      <c r="F27" s="150">
        <v>126791</v>
      </c>
      <c r="G27" s="150">
        <v>135865</v>
      </c>
      <c r="H27" s="150">
        <v>137231</v>
      </c>
      <c r="I27" s="150">
        <v>143632</v>
      </c>
      <c r="J27" s="150">
        <v>139934</v>
      </c>
      <c r="K27" s="150">
        <v>142620</v>
      </c>
      <c r="L27" s="150">
        <v>147802</v>
      </c>
      <c r="M27" s="150"/>
    </row>
    <row r="28" spans="2:13" ht="13.9" x14ac:dyDescent="0.4">
      <c r="B28" s="97" t="s">
        <v>106</v>
      </c>
      <c r="C28" s="150">
        <v>21957</v>
      </c>
      <c r="D28" s="150">
        <v>20016</v>
      </c>
      <c r="E28" s="150">
        <v>16729</v>
      </c>
      <c r="F28" s="150">
        <v>15746</v>
      </c>
      <c r="G28" s="150">
        <v>15666</v>
      </c>
      <c r="H28" s="150">
        <v>12826</v>
      </c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24063</v>
      </c>
      <c r="D29" s="150">
        <v>21554</v>
      </c>
      <c r="E29" s="150">
        <v>19739</v>
      </c>
      <c r="F29" s="150">
        <v>26528</v>
      </c>
      <c r="G29" s="150">
        <v>30409</v>
      </c>
      <c r="H29" s="150">
        <v>22718</v>
      </c>
      <c r="I29" s="150">
        <v>21648</v>
      </c>
      <c r="J29" s="150">
        <v>20652</v>
      </c>
      <c r="K29" s="150">
        <v>23826</v>
      </c>
      <c r="L29" s="150">
        <v>24877</v>
      </c>
      <c r="M29" s="150"/>
    </row>
    <row r="30" spans="2:13" ht="13.9" x14ac:dyDescent="0.4">
      <c r="B30" s="99" t="s">
        <v>110</v>
      </c>
      <c r="C30" s="150">
        <v>20681</v>
      </c>
      <c r="D30" s="150">
        <v>20705</v>
      </c>
      <c r="E30" s="150">
        <v>22526</v>
      </c>
      <c r="F30" s="150">
        <v>14479</v>
      </c>
      <c r="G30" s="150">
        <v>21333</v>
      </c>
      <c r="H30" s="150">
        <v>20944</v>
      </c>
      <c r="I30" s="150">
        <v>13995</v>
      </c>
      <c r="J30" s="150">
        <v>21514</v>
      </c>
      <c r="K30" s="150">
        <v>6711</v>
      </c>
      <c r="L30" s="150">
        <v>11861</v>
      </c>
      <c r="M30" s="150"/>
    </row>
    <row r="31" spans="2:13" ht="13.9" x14ac:dyDescent="0.4">
      <c r="B31" s="97" t="s">
        <v>109</v>
      </c>
      <c r="C31" s="150">
        <v>-13105</v>
      </c>
      <c r="D31" s="150">
        <v>46237</v>
      </c>
      <c r="E31" s="150">
        <v>27617</v>
      </c>
      <c r="F31" s="150">
        <v>-71716</v>
      </c>
      <c r="G31" s="150">
        <v>-28895</v>
      </c>
      <c r="H31" s="150">
        <v>-2436</v>
      </c>
      <c r="I31" s="150">
        <v>-64518</v>
      </c>
      <c r="J31" s="150">
        <v>-5969</v>
      </c>
      <c r="K31" s="150">
        <v>-4437</v>
      </c>
      <c r="L31" s="150">
        <v>-34533</v>
      </c>
      <c r="M31" s="150"/>
    </row>
    <row r="32" spans="2:13" ht="13.9" x14ac:dyDescent="0.4">
      <c r="B32" s="97" t="s">
        <v>104</v>
      </c>
      <c r="C32" s="150">
        <v>247452</v>
      </c>
      <c r="D32" s="150">
        <v>238036</v>
      </c>
      <c r="E32" s="150">
        <v>204743</v>
      </c>
      <c r="F32" s="150">
        <v>198511</v>
      </c>
      <c r="G32" s="150">
        <v>211847</v>
      </c>
      <c r="H32" s="150">
        <v>202355</v>
      </c>
      <c r="I32" s="150">
        <v>219432</v>
      </c>
      <c r="J32" s="150">
        <v>209651</v>
      </c>
      <c r="K32" s="150">
        <v>177858</v>
      </c>
      <c r="L32" s="150">
        <v>173981</v>
      </c>
      <c r="M32" s="150"/>
    </row>
    <row r="33" spans="2:13" ht="13.9" x14ac:dyDescent="0.4">
      <c r="B33" s="97" t="s">
        <v>107</v>
      </c>
      <c r="C33" s="150">
        <v>282519</v>
      </c>
      <c r="D33" s="150">
        <v>243752</v>
      </c>
      <c r="E33" s="150">
        <v>251178</v>
      </c>
      <c r="F33" s="150">
        <v>246493</v>
      </c>
      <c r="G33" s="150">
        <v>296776</v>
      </c>
      <c r="H33" s="150">
        <v>256106</v>
      </c>
      <c r="I33" s="150">
        <v>216227</v>
      </c>
      <c r="J33" s="150">
        <v>172386</v>
      </c>
      <c r="K33" s="150">
        <v>202238</v>
      </c>
      <c r="L33" s="150">
        <v>291729</v>
      </c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0.22+0.23</f>
        <v>0.45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8.5242001356276798E-2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238880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9895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262</v>
      </c>
      <c r="C54" s="59">
        <v>24847</v>
      </c>
      <c r="D54" s="60">
        <v>0.1</v>
      </c>
      <c r="E54" s="112"/>
    </row>
    <row r="55" spans="2:5" ht="13.9" x14ac:dyDescent="0.4">
      <c r="B55" s="3" t="s">
        <v>46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>
        <v>61345</v>
      </c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292606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201156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91529</v>
      </c>
      <c r="D70" s="60">
        <v>0.05</v>
      </c>
      <c r="E70" s="112"/>
    </row>
    <row r="71" spans="2:5" ht="13.9" x14ac:dyDescent="0.4">
      <c r="B71" s="3" t="s">
        <v>74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71887</v>
      </c>
      <c r="D72" s="248">
        <v>0</v>
      </c>
      <c r="E72" s="249"/>
    </row>
    <row r="73" spans="2:5" ht="13.9" x14ac:dyDescent="0.4">
      <c r="B73" s="3" t="s">
        <v>38</v>
      </c>
      <c r="C73" s="59">
        <v>40594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61</v>
      </c>
      <c r="C78" s="59">
        <v>70126</v>
      </c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11000</v>
      </c>
    </row>
    <row r="82" spans="2:8" ht="14.25" thickBot="1" x14ac:dyDescent="0.45">
      <c r="B82" s="80" t="s">
        <v>84</v>
      </c>
      <c r="C82" s="83">
        <v>373503</v>
      </c>
    </row>
    <row r="83" spans="2:8" ht="14.25" thickTop="1" x14ac:dyDescent="0.4">
      <c r="B83" s="73" t="s">
        <v>220</v>
      </c>
      <c r="C83" s="59">
        <v>1489904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3011012</v>
      </c>
      <c r="D91" s="209"/>
      <c r="E91" s="251">
        <f>C91</f>
        <v>3011012</v>
      </c>
      <c r="F91" s="251">
        <f>C91</f>
        <v>3011012</v>
      </c>
    </row>
    <row r="92" spans="2:8" ht="13.9" x14ac:dyDescent="0.4">
      <c r="B92" s="104" t="s">
        <v>105</v>
      </c>
      <c r="C92" s="77">
        <f>C26</f>
        <v>2597400</v>
      </c>
      <c r="D92" s="159">
        <f>C92/C91</f>
        <v>0.86263355974668987</v>
      </c>
      <c r="E92" s="252">
        <f>E91*87.5%</f>
        <v>2634635.5</v>
      </c>
      <c r="F92" s="252">
        <f>F91*D92</f>
        <v>2597400</v>
      </c>
    </row>
    <row r="93" spans="2:8" ht="13.9" x14ac:dyDescent="0.4">
      <c r="B93" s="104" t="s">
        <v>247</v>
      </c>
      <c r="C93" s="77">
        <f>C27+C28</f>
        <v>147240</v>
      </c>
      <c r="D93" s="159">
        <f>C93/C91</f>
        <v>4.8900502555287058E-2</v>
      </c>
      <c r="E93" s="252">
        <f>E91*5.04%</f>
        <v>151755.0048</v>
      </c>
      <c r="F93" s="252">
        <f>F91*5.04%</f>
        <v>151755.0048</v>
      </c>
    </row>
    <row r="94" spans="2:8" ht="13.9" x14ac:dyDescent="0.4">
      <c r="B94" s="104" t="s">
        <v>257</v>
      </c>
      <c r="C94" s="77">
        <f>C29</f>
        <v>24063</v>
      </c>
      <c r="D94" s="159">
        <f>C94/C91</f>
        <v>7.9916652607163307E-3</v>
      </c>
      <c r="E94" s="253"/>
      <c r="F94" s="252">
        <f>F91*D94</f>
        <v>24063</v>
      </c>
    </row>
    <row r="95" spans="2:8" ht="13.9" x14ac:dyDescent="0.4">
      <c r="B95" s="28" t="s">
        <v>246</v>
      </c>
      <c r="C95" s="77">
        <f>ABS(MAX(C33,0)-C32)</f>
        <v>35067</v>
      </c>
      <c r="D95" s="159">
        <f>C95/C91</f>
        <v>1.1646250496510809E-2</v>
      </c>
      <c r="E95" s="252">
        <f>E91*2%</f>
        <v>60220.24</v>
      </c>
      <c r="F95" s="252">
        <f>F91*2%</f>
        <v>60220.24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v>0</v>
      </c>
    </row>
    <row r="97" spans="2:7" ht="13.9" x14ac:dyDescent="0.4">
      <c r="B97" s="73" t="s">
        <v>172</v>
      </c>
      <c r="C97" s="77">
        <f>MAX(C30,0)/(1-C16)</f>
        <v>27574.666666666668</v>
      </c>
      <c r="D97" s="159">
        <f>C97/C91</f>
        <v>9.1579398111554088E-3</v>
      </c>
      <c r="E97" s="253"/>
      <c r="F97" s="252">
        <f>F91*D97</f>
        <v>27574.666666666672</v>
      </c>
    </row>
    <row r="98" spans="2:7" ht="13.9" x14ac:dyDescent="0.4">
      <c r="B98" s="86" t="s">
        <v>207</v>
      </c>
      <c r="C98" s="237">
        <f>C44</f>
        <v>0.45</v>
      </c>
      <c r="D98" s="266"/>
      <c r="E98" s="254">
        <f>C98*0.8</f>
        <v>0.36000000000000004</v>
      </c>
      <c r="F98" s="254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0857.HK</v>
      </c>
      <c r="D3" s="278"/>
      <c r="E3" s="87"/>
      <c r="F3" s="3" t="s">
        <v>1</v>
      </c>
      <c r="G3" s="132">
        <v>5.65</v>
      </c>
      <c r="H3" s="134" t="s">
        <v>273</v>
      </c>
    </row>
    <row r="4" spans="1:10" ht="15.75" customHeight="1" x14ac:dyDescent="0.4">
      <c r="B4" s="35" t="s">
        <v>195</v>
      </c>
      <c r="C4" s="279" t="str">
        <f>Inputs!C5</f>
        <v>中國石油股份</v>
      </c>
      <c r="D4" s="280"/>
      <c r="E4" s="87"/>
      <c r="F4" s="3" t="s">
        <v>2</v>
      </c>
      <c r="G4" s="283">
        <f>Inputs!C10</f>
        <v>183020977818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1034068.5246717001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C0013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0.86263355974668987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5.04E-2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9.1579398111554088E-3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0.57574237327851296</v>
      </c>
    </row>
    <row r="24" spans="1:8" ht="15.75" customHeight="1" x14ac:dyDescent="0.4">
      <c r="B24" s="137" t="s">
        <v>170</v>
      </c>
      <c r="C24" s="171">
        <f>Fin_Analysis!I81</f>
        <v>7.9916652607163307E-3</v>
      </c>
      <c r="F24" s="140" t="s">
        <v>259</v>
      </c>
      <c r="G24" s="268">
        <f>G3/(Fin_Analysis!H86*G7)</f>
        <v>8.5883525505978664</v>
      </c>
    </row>
    <row r="25" spans="1:8" ht="15.75" customHeight="1" x14ac:dyDescent="0.4">
      <c r="B25" s="137" t="s">
        <v>243</v>
      </c>
      <c r="C25" s="171">
        <f>Fin_Analysis!I82</f>
        <v>0.02</v>
      </c>
      <c r="F25" s="140" t="s">
        <v>174</v>
      </c>
      <c r="G25" s="171">
        <f>Fin_Analysis!I88</f>
        <v>0.73208835976624664</v>
      </c>
    </row>
    <row r="26" spans="1:8" ht="15.75" customHeight="1" x14ac:dyDescent="0.4">
      <c r="B26" s="138" t="s">
        <v>173</v>
      </c>
      <c r="C26" s="171">
        <f>Fin_Analysis!I83</f>
        <v>4.9816835181438444E-2</v>
      </c>
      <c r="F26" s="141" t="s">
        <v>193</v>
      </c>
      <c r="G26" s="178">
        <f>Fin_Analysis!H88*Exchange_Rate/G3</f>
        <v>8.5242001356276798E-2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5.0819775558726281</v>
      </c>
      <c r="D29" s="129">
        <f>G29*(1+G20)</f>
        <v>13.461501985180298</v>
      </c>
      <c r="E29" s="87"/>
      <c r="F29" s="131">
        <f>IF(Fin_Analysis!C108="Profit",Fin_Analysis!F100,IF(Fin_Analysis!C108="Dividend",Fin_Analysis!F103,Fin_Analysis!F106))</f>
        <v>6.6790803731267205</v>
      </c>
      <c r="G29" s="274">
        <f>IF(Fin_Analysis!C108="Profit",Fin_Analysis!I100,IF(Fin_Analysis!C108="Dividend",Fin_Analysis!I103,Fin_Analysis!I106))</f>
        <v>11.705653900156783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3011012</v>
      </c>
      <c r="D6" s="200">
        <f>IF(Inputs!D25="","",Inputs!D25)</f>
        <v>3239167</v>
      </c>
      <c r="E6" s="200">
        <f>IF(Inputs!E25="","",Inputs!E25)</f>
        <v>2614349</v>
      </c>
      <c r="F6" s="200">
        <f>IF(Inputs!F25="","",Inputs!F25)</f>
        <v>1933836</v>
      </c>
      <c r="G6" s="200">
        <f>IF(Inputs!G25="","",Inputs!G25)</f>
        <v>2516810</v>
      </c>
      <c r="H6" s="200">
        <f>IF(Inputs!H25="","",Inputs!H25)</f>
        <v>2374934</v>
      </c>
      <c r="I6" s="200">
        <f>IF(Inputs!I25="","",Inputs!I25)</f>
        <v>2015890</v>
      </c>
      <c r="J6" s="200">
        <f>IF(Inputs!J25="","",Inputs!J25)</f>
        <v>1616903</v>
      </c>
      <c r="K6" s="200">
        <f>IF(Inputs!K25="","",Inputs!K25)</f>
        <v>1725428</v>
      </c>
      <c r="L6" s="200">
        <f>IF(Inputs!L25="","",Inputs!L25)</f>
        <v>2282962</v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2597400</v>
      </c>
      <c r="D8" s="199">
        <f>IF(Inputs!D26="","",Inputs!D26)</f>
        <v>2804756</v>
      </c>
      <c r="E8" s="199">
        <f>IF(Inputs!E26="","",Inputs!E26)</f>
        <v>2298168</v>
      </c>
      <c r="F8" s="199">
        <f>IF(Inputs!F26="","",Inputs!F26)</f>
        <v>1741508</v>
      </c>
      <c r="G8" s="199">
        <f>IF(Inputs!G26="","",Inputs!G26)</f>
        <v>2229308</v>
      </c>
      <c r="H8" s="199">
        <f>IF(Inputs!H26="","",Inputs!H26)</f>
        <v>2058853</v>
      </c>
      <c r="I8" s="199">
        <f>IF(Inputs!I26="","",Inputs!I26)</f>
        <v>1780340</v>
      </c>
      <c r="J8" s="199">
        <f>IF(Inputs!J26="","",Inputs!J26)</f>
        <v>1423553</v>
      </c>
      <c r="K8" s="199">
        <f>IF(Inputs!K26="","",Inputs!K26)</f>
        <v>1500674</v>
      </c>
      <c r="L8" s="199">
        <f>IF(Inputs!L26="","",Inputs!L26)</f>
        <v>1963128</v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413612</v>
      </c>
      <c r="D9" s="151">
        <f t="shared" si="2"/>
        <v>434411</v>
      </c>
      <c r="E9" s="151">
        <f t="shared" si="2"/>
        <v>316181</v>
      </c>
      <c r="F9" s="151">
        <f t="shared" si="2"/>
        <v>192328</v>
      </c>
      <c r="G9" s="151">
        <f t="shared" si="2"/>
        <v>287502</v>
      </c>
      <c r="H9" s="151">
        <f t="shared" si="2"/>
        <v>316081</v>
      </c>
      <c r="I9" s="151">
        <f t="shared" si="2"/>
        <v>235550</v>
      </c>
      <c r="J9" s="151">
        <f t="shared" si="2"/>
        <v>193350</v>
      </c>
      <c r="K9" s="151">
        <f t="shared" si="2"/>
        <v>224754</v>
      </c>
      <c r="L9" s="151">
        <f t="shared" si="2"/>
        <v>319834</v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125283</v>
      </c>
      <c r="D10" s="199">
        <f>IF(Inputs!D27="","",Inputs!D27)</f>
        <v>118875</v>
      </c>
      <c r="E10" s="199">
        <f>IF(Inputs!E27="","",Inputs!E27)</f>
        <v>122996</v>
      </c>
      <c r="F10" s="199">
        <f>IF(Inputs!F27="","",Inputs!F27)</f>
        <v>126791</v>
      </c>
      <c r="G10" s="199">
        <f>IF(Inputs!G27="","",Inputs!G27)</f>
        <v>135865</v>
      </c>
      <c r="H10" s="199">
        <f>IF(Inputs!H27="","",Inputs!H27)</f>
        <v>137231</v>
      </c>
      <c r="I10" s="199">
        <f>IF(Inputs!I27="","",Inputs!I27)</f>
        <v>143632</v>
      </c>
      <c r="J10" s="199">
        <f>IF(Inputs!J27="","",Inputs!J27)</f>
        <v>139934</v>
      </c>
      <c r="K10" s="199">
        <f>IF(Inputs!K27="","",Inputs!K27)</f>
        <v>142620</v>
      </c>
      <c r="L10" s="199">
        <f>IF(Inputs!L27="","",Inputs!L27)</f>
        <v>147802</v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21957</v>
      </c>
      <c r="D11" s="199">
        <f>IF(Inputs!D28="","",Inputs!D28)</f>
        <v>20016</v>
      </c>
      <c r="E11" s="199">
        <f>IF(Inputs!E28="","",Inputs!E28)</f>
        <v>16729</v>
      </c>
      <c r="F11" s="199">
        <f>IF(Inputs!F28="","",Inputs!F28)</f>
        <v>15746</v>
      </c>
      <c r="G11" s="199">
        <f>IF(Inputs!G28="","",Inputs!G28)</f>
        <v>15666</v>
      </c>
      <c r="H11" s="199">
        <f>IF(Inputs!H28="","",Inputs!H28)</f>
        <v>12826</v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27574.666666666668</v>
      </c>
      <c r="D12" s="199">
        <f>IF(Inputs!D30="","",MAX(Inputs!D30,0)/(1-Fin_Analysis!$I$84))</f>
        <v>27606.666666666668</v>
      </c>
      <c r="E12" s="199">
        <f>IF(Inputs!E30="","",MAX(Inputs!E30,0)/(1-Fin_Analysis!$I$84))</f>
        <v>30034.666666666668</v>
      </c>
      <c r="F12" s="199">
        <f>IF(Inputs!F30="","",MAX(Inputs!F30,0)/(1-Fin_Analysis!$I$84))</f>
        <v>19305.333333333332</v>
      </c>
      <c r="G12" s="199">
        <f>IF(Inputs!G30="","",MAX(Inputs!G30,0)/(1-Fin_Analysis!$I$84))</f>
        <v>28444</v>
      </c>
      <c r="H12" s="199">
        <f>IF(Inputs!H30="","",MAX(Inputs!H30,0)/(1-Fin_Analysis!$I$84))</f>
        <v>27925.333333333332</v>
      </c>
      <c r="I12" s="199">
        <f>IF(Inputs!I30="","",MAX(Inputs!I30,0)/(1-Fin_Analysis!$I$84))</f>
        <v>18660</v>
      </c>
      <c r="J12" s="199">
        <f>IF(Inputs!J30="","",MAX(Inputs!J30,0)/(1-Fin_Analysis!$I$84))</f>
        <v>28685.333333333332</v>
      </c>
      <c r="K12" s="199">
        <f>IF(Inputs!K30="","",MAX(Inputs!K30,0)/(1-Fin_Analysis!$I$84))</f>
        <v>8948</v>
      </c>
      <c r="L12" s="199">
        <f>IF(Inputs!L30="","",MAX(Inputs!L30,0)/(1-Fin_Analysis!$I$84))</f>
        <v>15814.666666666666</v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7.9307997886867723E-2</v>
      </c>
      <c r="D13" s="229">
        <f t="shared" si="3"/>
        <v>8.2710565195722632E-2</v>
      </c>
      <c r="E13" s="229">
        <f t="shared" si="3"/>
        <v>5.6006804498302767E-2</v>
      </c>
      <c r="F13" s="229">
        <f t="shared" si="3"/>
        <v>1.5764349544980374E-2</v>
      </c>
      <c r="G13" s="229">
        <f t="shared" si="3"/>
        <v>4.2723527004422265E-2</v>
      </c>
      <c r="H13" s="229">
        <f t="shared" si="3"/>
        <v>5.8148422931612695E-2</v>
      </c>
      <c r="I13" s="229">
        <f t="shared" si="3"/>
        <v>3.6340276503182216E-2</v>
      </c>
      <c r="J13" s="229">
        <f t="shared" si="3"/>
        <v>1.5295083667150515E-2</v>
      </c>
      <c r="K13" s="229">
        <f t="shared" si="3"/>
        <v>4.2416142545501752E-2</v>
      </c>
      <c r="L13" s="229">
        <f t="shared" si="3"/>
        <v>6.8427478570967606E-2</v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238797.33333333334</v>
      </c>
      <c r="D14" s="230">
        <f t="shared" ref="D14:M14" si="4">IF(D6="","",D9-D10-MAX(D11,0)-MAX(D12,0))</f>
        <v>267913.33333333331</v>
      </c>
      <c r="E14" s="230">
        <f t="shared" si="4"/>
        <v>146421.33333333334</v>
      </c>
      <c r="F14" s="230">
        <f t="shared" si="4"/>
        <v>30485.666666666668</v>
      </c>
      <c r="G14" s="230">
        <f t="shared" si="4"/>
        <v>107527</v>
      </c>
      <c r="H14" s="230">
        <f t="shared" si="4"/>
        <v>138098.66666666666</v>
      </c>
      <c r="I14" s="230">
        <f t="shared" si="4"/>
        <v>73258</v>
      </c>
      <c r="J14" s="230">
        <f t="shared" si="4"/>
        <v>24730.666666666668</v>
      </c>
      <c r="K14" s="230">
        <f t="shared" si="4"/>
        <v>73186</v>
      </c>
      <c r="L14" s="230">
        <f t="shared" si="4"/>
        <v>156217.33333333334</v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-0.10867693532734456</v>
      </c>
      <c r="D15" s="232">
        <f t="shared" ref="D15:M15" si="5">IF(E14="","",IF(ABS(D14+E14)=ABS(D14)+ABS(E14),IF(D14&lt;0,-1,1)*(D14-E14)/E14,"Turn"))</f>
        <v>0.82974247832738368</v>
      </c>
      <c r="E15" s="232">
        <f t="shared" si="5"/>
        <v>3.8029565806881922</v>
      </c>
      <c r="F15" s="232">
        <f t="shared" si="5"/>
        <v>-0.71648361186802689</v>
      </c>
      <c r="G15" s="232">
        <f t="shared" si="5"/>
        <v>-0.22137553826249826</v>
      </c>
      <c r="H15" s="232">
        <f t="shared" si="5"/>
        <v>0.8851001483341977</v>
      </c>
      <c r="I15" s="232">
        <f t="shared" si="5"/>
        <v>1.9622331248652143</v>
      </c>
      <c r="J15" s="232">
        <f t="shared" si="5"/>
        <v>-0.66208473387442035</v>
      </c>
      <c r="K15" s="232">
        <f t="shared" si="5"/>
        <v>-0.53151165470327666</v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-13105</v>
      </c>
      <c r="D16" s="199">
        <f>IF(Inputs!D31="","",Inputs!D31)</f>
        <v>46237</v>
      </c>
      <c r="E16" s="199">
        <f>IF(Inputs!E31="","",Inputs!E31)</f>
        <v>27617</v>
      </c>
      <c r="F16" s="199">
        <f>IF(Inputs!F31="","",Inputs!F31)</f>
        <v>-71716</v>
      </c>
      <c r="G16" s="199">
        <f>IF(Inputs!G31="","",Inputs!G31)</f>
        <v>-28895</v>
      </c>
      <c r="H16" s="199">
        <f>IF(Inputs!H31="","",Inputs!H31)</f>
        <v>-2436</v>
      </c>
      <c r="I16" s="199">
        <f>IF(Inputs!I31="","",Inputs!I31)</f>
        <v>-64518</v>
      </c>
      <c r="J16" s="199">
        <f>IF(Inputs!J31="","",Inputs!J31)</f>
        <v>-5969</v>
      </c>
      <c r="K16" s="199">
        <f>IF(Inputs!K31="","",Inputs!K31)</f>
        <v>-4437</v>
      </c>
      <c r="L16" s="199">
        <f>IF(Inputs!L31="","",Inputs!L31)</f>
        <v>-34533</v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24063</v>
      </c>
      <c r="D17" s="199">
        <f>IF(Inputs!D29="","",Inputs!D29)</f>
        <v>21554</v>
      </c>
      <c r="E17" s="199">
        <f>IF(Inputs!E29="","",Inputs!E29)</f>
        <v>19739</v>
      </c>
      <c r="F17" s="199">
        <f>IF(Inputs!F29="","",Inputs!F29)</f>
        <v>26528</v>
      </c>
      <c r="G17" s="199">
        <f>IF(Inputs!G29="","",Inputs!G29)</f>
        <v>30409</v>
      </c>
      <c r="H17" s="199">
        <f>IF(Inputs!H29="","",Inputs!H29)</f>
        <v>22718</v>
      </c>
      <c r="I17" s="199">
        <f>IF(Inputs!I29="","",Inputs!I29)</f>
        <v>21648</v>
      </c>
      <c r="J17" s="199">
        <f>IF(Inputs!J29="","",Inputs!J29)</f>
        <v>20652</v>
      </c>
      <c r="K17" s="199">
        <f>IF(Inputs!K29="","",Inputs!K29)</f>
        <v>23826</v>
      </c>
      <c r="L17" s="199">
        <f>IF(Inputs!L29="","",Inputs!L29)</f>
        <v>24877</v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8.2182336038514631E-2</v>
      </c>
      <c r="D18" s="152">
        <f t="shared" si="6"/>
        <v>7.3486794598734792E-2</v>
      </c>
      <c r="E18" s="152">
        <f t="shared" si="6"/>
        <v>7.8315098710998413E-2</v>
      </c>
      <c r="F18" s="152">
        <f t="shared" si="6"/>
        <v>0.1026514140806149</v>
      </c>
      <c r="G18" s="152">
        <f t="shared" si="6"/>
        <v>8.41728219452402E-2</v>
      </c>
      <c r="H18" s="152">
        <f t="shared" si="6"/>
        <v>8.5204473050619511E-2</v>
      </c>
      <c r="I18" s="152">
        <f t="shared" si="6"/>
        <v>0.10885117739559202</v>
      </c>
      <c r="J18" s="152">
        <f t="shared" si="6"/>
        <v>0.12966207620370548</v>
      </c>
      <c r="K18" s="152">
        <f t="shared" si="6"/>
        <v>0.10308051103842061</v>
      </c>
      <c r="L18" s="152">
        <f t="shared" si="6"/>
        <v>7.6208452002267224E-2</v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247452</v>
      </c>
      <c r="D19" s="199">
        <f>IF(Inputs!D32="","",Inputs!D32)</f>
        <v>238036</v>
      </c>
      <c r="E19" s="199">
        <f>IF(Inputs!E32="","",Inputs!E32)</f>
        <v>204743</v>
      </c>
      <c r="F19" s="199">
        <f>IF(Inputs!F32="","",Inputs!F32)</f>
        <v>198511</v>
      </c>
      <c r="G19" s="199">
        <f>IF(Inputs!G32="","",Inputs!G32)</f>
        <v>211847</v>
      </c>
      <c r="H19" s="199">
        <f>IF(Inputs!H32="","",Inputs!H32)</f>
        <v>202355</v>
      </c>
      <c r="I19" s="199">
        <f>IF(Inputs!I32="","",Inputs!I32)</f>
        <v>219432</v>
      </c>
      <c r="J19" s="199">
        <f>IF(Inputs!J32="","",Inputs!J32)</f>
        <v>209651</v>
      </c>
      <c r="K19" s="199">
        <f>IF(Inputs!K32="","",Inputs!K32)</f>
        <v>177858</v>
      </c>
      <c r="L19" s="199">
        <f>IF(Inputs!L32="","",Inputs!L32)</f>
        <v>173981</v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9.3828586535025432E-2</v>
      </c>
      <c r="D20" s="152">
        <f t="shared" si="7"/>
        <v>7.525144581924921E-2</v>
      </c>
      <c r="E20" s="152">
        <f t="shared" si="7"/>
        <v>9.6076690602517112E-2</v>
      </c>
      <c r="F20" s="152">
        <f t="shared" si="7"/>
        <v>0.1274632388682391</v>
      </c>
      <c r="G20" s="152">
        <f t="shared" si="7"/>
        <v>0.11791752257818429</v>
      </c>
      <c r="H20" s="152">
        <f t="shared" si="7"/>
        <v>0.10783710199946608</v>
      </c>
      <c r="I20" s="152">
        <f t="shared" si="7"/>
        <v>0.10726130890078328</v>
      </c>
      <c r="J20" s="152">
        <f t="shared" si="7"/>
        <v>0.10661492989993834</v>
      </c>
      <c r="K20" s="152">
        <f t="shared" si="7"/>
        <v>0.1172103385362936</v>
      </c>
      <c r="L20" s="152">
        <f t="shared" si="7"/>
        <v>0.12778530698277063</v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282519</v>
      </c>
      <c r="D21" s="199">
        <f>IF(Inputs!D33="","",Inputs!D33)</f>
        <v>243752</v>
      </c>
      <c r="E21" s="199">
        <f>IF(Inputs!E33="","",Inputs!E33)</f>
        <v>251178</v>
      </c>
      <c r="F21" s="199">
        <f>IF(Inputs!F33="","",Inputs!F33)</f>
        <v>246493</v>
      </c>
      <c r="G21" s="199">
        <f>IF(Inputs!G33="","",Inputs!G33)</f>
        <v>296776</v>
      </c>
      <c r="H21" s="199">
        <f>IF(Inputs!H33="","",Inputs!H33)</f>
        <v>256106</v>
      </c>
      <c r="I21" s="199">
        <f>IF(Inputs!I33="","",Inputs!I33)</f>
        <v>216227</v>
      </c>
      <c r="J21" s="199">
        <f>IF(Inputs!J33="","",Inputs!J33)</f>
        <v>172386</v>
      </c>
      <c r="K21" s="199">
        <f>IF(Inputs!K33="","",Inputs!K33)</f>
        <v>202238</v>
      </c>
      <c r="L21" s="199">
        <f>IF(Inputs!L33="","",Inputs!L33)</f>
        <v>291729</v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179667.33333333334</v>
      </c>
      <c r="D22" s="161">
        <f t="shared" ref="D22:M22" si="8">IF(D6="","",D14-MAX(D16,0)-MAX(D17,0)-ABS(MAX(D21,0)-MAX(D19,0)))</f>
        <v>194406.33333333331</v>
      </c>
      <c r="E22" s="161">
        <f t="shared" si="8"/>
        <v>52630.333333333343</v>
      </c>
      <c r="F22" s="161">
        <f t="shared" si="8"/>
        <v>-44024.333333333328</v>
      </c>
      <c r="G22" s="161">
        <f t="shared" si="8"/>
        <v>-7811</v>
      </c>
      <c r="H22" s="161">
        <f t="shared" si="8"/>
        <v>61629.666666666657</v>
      </c>
      <c r="I22" s="161">
        <f t="shared" si="8"/>
        <v>48405</v>
      </c>
      <c r="J22" s="161">
        <f t="shared" si="8"/>
        <v>-33186.333333333328</v>
      </c>
      <c r="K22" s="161">
        <f t="shared" si="8"/>
        <v>24980</v>
      </c>
      <c r="L22" s="161">
        <f t="shared" si="8"/>
        <v>13592.333333333343</v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4.4752561597230435E-2</v>
      </c>
      <c r="D23" s="153">
        <f t="shared" si="9"/>
        <v>4.5013038846098398E-2</v>
      </c>
      <c r="E23" s="153">
        <f t="shared" si="9"/>
        <v>1.50985006209959E-2</v>
      </c>
      <c r="F23" s="153">
        <f t="shared" si="9"/>
        <v>-1.7073965941269063E-2</v>
      </c>
      <c r="G23" s="153">
        <f t="shared" si="9"/>
        <v>-2.32764888887123E-3</v>
      </c>
      <c r="H23" s="153">
        <f t="shared" si="9"/>
        <v>1.9462540853766881E-2</v>
      </c>
      <c r="I23" s="153">
        <f t="shared" si="9"/>
        <v>1.8008795122749752E-2</v>
      </c>
      <c r="J23" s="153">
        <f t="shared" si="9"/>
        <v>-1.539347134614754E-2</v>
      </c>
      <c r="K23" s="153">
        <f t="shared" si="9"/>
        <v>1.0858175478779758E-2</v>
      </c>
      <c r="L23" s="153">
        <f t="shared" si="9"/>
        <v>4.4653612280887755E-3</v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-7.5815431253097032E-2</v>
      </c>
      <c r="D25" s="233">
        <f t="shared" ref="D25:M25" si="10">IF(E24="","",IF(ABS(D24+E24)=ABS(D24)+ABS(E24),IF(D24&lt;0,-1,1)*(D24-E24)/E24,"Turn"))</f>
        <v>2.6938077534501645</v>
      </c>
      <c r="E25" s="233" t="str">
        <f t="shared" si="10"/>
        <v>Turn</v>
      </c>
      <c r="F25" s="233">
        <f t="shared" si="10"/>
        <v>-4.6361968164554259</v>
      </c>
      <c r="G25" s="233" t="str">
        <f t="shared" si="10"/>
        <v>Turn</v>
      </c>
      <c r="H25" s="233">
        <f t="shared" si="10"/>
        <v>0.27320869056226954</v>
      </c>
      <c r="I25" s="233" t="str">
        <f t="shared" si="10"/>
        <v>Turn</v>
      </c>
      <c r="J25" s="233" t="str">
        <f t="shared" si="10"/>
        <v>Turn</v>
      </c>
      <c r="K25" s="233">
        <f t="shared" si="10"/>
        <v>0.83780072099467706</v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672371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142879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182674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716641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373503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52418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81126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1678153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188249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541381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0.10723230392764403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0.86263355974668987</v>
      </c>
      <c r="D42" s="156">
        <f t="shared" si="34"/>
        <v>0.86588805084764076</v>
      </c>
      <c r="E42" s="156">
        <f t="shared" si="34"/>
        <v>0.87905937577576676</v>
      </c>
      <c r="F42" s="156">
        <f t="shared" si="34"/>
        <v>0.90054585807690002</v>
      </c>
      <c r="G42" s="156">
        <f t="shared" si="34"/>
        <v>0.88576730067029297</v>
      </c>
      <c r="H42" s="156">
        <f t="shared" si="34"/>
        <v>0.86690956464474378</v>
      </c>
      <c r="I42" s="156">
        <f t="shared" si="34"/>
        <v>0.88315334666078005</v>
      </c>
      <c r="J42" s="156">
        <f t="shared" si="34"/>
        <v>0.88041954279261037</v>
      </c>
      <c r="K42" s="156">
        <f t="shared" si="34"/>
        <v>0.86974014563343127</v>
      </c>
      <c r="L42" s="156">
        <f t="shared" si="34"/>
        <v>0.85990393182190505</v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4.8900502555287058E-2</v>
      </c>
      <c r="D43" s="153">
        <f t="shared" si="35"/>
        <v>4.2878616631992113E-2</v>
      </c>
      <c r="E43" s="153">
        <f t="shared" si="35"/>
        <v>5.3445427523257226E-2</v>
      </c>
      <c r="F43" s="153">
        <f t="shared" si="35"/>
        <v>7.3706870696377561E-2</v>
      </c>
      <c r="G43" s="153">
        <f t="shared" si="35"/>
        <v>6.0207564337395353E-2</v>
      </c>
      <c r="H43" s="153">
        <f t="shared" si="35"/>
        <v>6.3183650577237099E-2</v>
      </c>
      <c r="I43" s="153">
        <f t="shared" si="35"/>
        <v>7.1249919390442937E-2</v>
      </c>
      <c r="J43" s="153">
        <f t="shared" si="35"/>
        <v>8.6544461850834586E-2</v>
      </c>
      <c r="K43" s="153">
        <f t="shared" si="35"/>
        <v>8.265775216352117E-2</v>
      </c>
      <c r="L43" s="153">
        <f t="shared" si="35"/>
        <v>6.4741331655980255E-2</v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1.4274348929832885E-2</v>
      </c>
      <c r="E44" s="153">
        <f t="shared" si="36"/>
        <v>1.0563624060903882E-2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>
        <f t="shared" si="36"/>
        <v>0</v>
      </c>
      <c r="L44" s="153">
        <f t="shared" si="36"/>
        <v>0</v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7.9916652607163307E-3</v>
      </c>
      <c r="D45" s="153">
        <f t="shared" si="37"/>
        <v>6.6541799172441553E-3</v>
      </c>
      <c r="E45" s="153">
        <f t="shared" si="37"/>
        <v>7.5502543845523303E-3</v>
      </c>
      <c r="F45" s="153">
        <f t="shared" si="37"/>
        <v>1.3717812679048275E-2</v>
      </c>
      <c r="G45" s="153">
        <f t="shared" si="37"/>
        <v>1.2082358223306488E-2</v>
      </c>
      <c r="H45" s="153">
        <f t="shared" si="37"/>
        <v>9.5657395110769396E-3</v>
      </c>
      <c r="I45" s="153">
        <f t="shared" si="37"/>
        <v>1.0738681178040468E-2</v>
      </c>
      <c r="J45" s="153">
        <f t="shared" si="37"/>
        <v>1.2772565824913431E-2</v>
      </c>
      <c r="K45" s="153">
        <f t="shared" si="37"/>
        <v>1.3808747742589085E-2</v>
      </c>
      <c r="L45" s="153">
        <f t="shared" si="37"/>
        <v>1.0896808619679172E-2</v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9.1579398111554088E-3</v>
      </c>
      <c r="D46" s="153">
        <f t="shared" ref="D46:M46" si="38">IF(D6="","",MAX(D12,0)/D6)</f>
        <v>8.522767324644475E-3</v>
      </c>
      <c r="E46" s="153">
        <f t="shared" si="38"/>
        <v>1.1488392202673272E-2</v>
      </c>
      <c r="F46" s="153">
        <f t="shared" si="38"/>
        <v>9.9829216817420574E-3</v>
      </c>
      <c r="G46" s="153">
        <f t="shared" si="38"/>
        <v>1.1301607987889432E-2</v>
      </c>
      <c r="H46" s="153">
        <f t="shared" si="38"/>
        <v>1.1758361846406398E-2</v>
      </c>
      <c r="I46" s="153">
        <f t="shared" si="38"/>
        <v>9.2564574455947495E-3</v>
      </c>
      <c r="J46" s="153">
        <f t="shared" si="38"/>
        <v>1.774091168940458E-2</v>
      </c>
      <c r="K46" s="153">
        <f t="shared" si="38"/>
        <v>5.1859596575458376E-3</v>
      </c>
      <c r="L46" s="153">
        <f t="shared" si="38"/>
        <v>6.9272579511470917E-3</v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1.1646250496510809E-2</v>
      </c>
      <c r="D47" s="153">
        <f t="shared" ref="D47:M47" si="39">IF(D6="","",ABS(MAX(D21,0)-MAX(D19,0))/D6)</f>
        <v>1.76465122051441E-3</v>
      </c>
      <c r="E47" s="153">
        <f t="shared" si="39"/>
        <v>1.7761591891518692E-2</v>
      </c>
      <c r="F47" s="153">
        <f t="shared" si="39"/>
        <v>2.4811824787624184E-2</v>
      </c>
      <c r="G47" s="153">
        <f t="shared" si="39"/>
        <v>3.3744700632944082E-2</v>
      </c>
      <c r="H47" s="153">
        <f t="shared" si="39"/>
        <v>2.263262894884658E-2</v>
      </c>
      <c r="I47" s="153">
        <f t="shared" si="39"/>
        <v>1.5898684948087445E-3</v>
      </c>
      <c r="J47" s="153">
        <f t="shared" si="39"/>
        <v>2.3047146303767141E-2</v>
      </c>
      <c r="K47" s="153">
        <f t="shared" si="39"/>
        <v>1.4129827497872992E-2</v>
      </c>
      <c r="L47" s="153">
        <f t="shared" si="39"/>
        <v>5.1576854980503399E-2</v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5.9670082129640582E-2</v>
      </c>
      <c r="D48" s="153">
        <f t="shared" si="40"/>
        <v>6.0017385128131186E-2</v>
      </c>
      <c r="E48" s="153">
        <f t="shared" si="40"/>
        <v>2.0131334161327865E-2</v>
      </c>
      <c r="F48" s="153">
        <f t="shared" si="40"/>
        <v>-2.2765287921692082E-2</v>
      </c>
      <c r="G48" s="153">
        <f t="shared" si="40"/>
        <v>-3.1035318518283063E-3</v>
      </c>
      <c r="H48" s="153">
        <f t="shared" si="40"/>
        <v>2.5950054471689174E-2</v>
      </c>
      <c r="I48" s="153">
        <f t="shared" si="40"/>
        <v>2.4011726830333004E-2</v>
      </c>
      <c r="J48" s="153">
        <f t="shared" si="40"/>
        <v>-2.0524628461530053E-2</v>
      </c>
      <c r="K48" s="153">
        <f t="shared" si="40"/>
        <v>1.4477567305039678E-2</v>
      </c>
      <c r="L48" s="153">
        <f t="shared" si="40"/>
        <v>5.9538149707850339E-3</v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4.7452152299625509E-2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6.0668638982508204E-2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5.743902171769192E-2</v>
      </c>
      <c r="D52" s="153">
        <f t="shared" ref="D52:M52" si="43">IF(E6="","",D16/(D6-E6))</f>
        <v>7.400074901811407E-2</v>
      </c>
      <c r="E52" s="153">
        <f t="shared" si="43"/>
        <v>4.0582619288683681E-2</v>
      </c>
      <c r="F52" s="153">
        <f t="shared" si="43"/>
        <v>0.12301749306144014</v>
      </c>
      <c r="G52" s="153">
        <f t="shared" si="43"/>
        <v>-0.2036637627223773</v>
      </c>
      <c r="H52" s="153">
        <f t="shared" si="43"/>
        <v>-6.7846837713483581E-3</v>
      </c>
      <c r="I52" s="153">
        <f t="shared" si="43"/>
        <v>-0.16170451668851366</v>
      </c>
      <c r="J52" s="153">
        <f t="shared" si="43"/>
        <v>5.5001151808339095E-2</v>
      </c>
      <c r="K52" s="153">
        <f t="shared" si="43"/>
        <v>7.9582590478786946E-3</v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0.39379589689979072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1.3453793007048864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0.13393085739941596</v>
      </c>
      <c r="D56" s="153">
        <f t="shared" si="46"/>
        <v>0.11087087354835834</v>
      </c>
      <c r="E56" s="153">
        <f t="shared" si="46"/>
        <v>0.37504987618040286</v>
      </c>
      <c r="F56" s="153">
        <f t="shared" si="46"/>
        <v>-0.6025758482051593</v>
      </c>
      <c r="G56" s="153">
        <f t="shared" si="46"/>
        <v>-3.8930994750992189</v>
      </c>
      <c r="H56" s="153">
        <f t="shared" si="46"/>
        <v>0.36862117270362221</v>
      </c>
      <c r="I56" s="153">
        <f t="shared" si="46"/>
        <v>0.44722652618531145</v>
      </c>
      <c r="J56" s="153">
        <f t="shared" si="46"/>
        <v>-0.62230436223746732</v>
      </c>
      <c r="K56" s="153">
        <f t="shared" si="46"/>
        <v>0.9538030424339472</v>
      </c>
      <c r="L56" s="153">
        <f t="shared" si="46"/>
        <v>1.8302229197832098</v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0.93822569459464367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1489904</v>
      </c>
      <c r="K3" s="24"/>
    </row>
    <row r="4" spans="1:11" ht="15" customHeight="1" x14ac:dyDescent="0.4">
      <c r="B4" s="3" t="s">
        <v>24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0.93822569459464367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-695526.88567899063</v>
      </c>
      <c r="E6" s="56">
        <f>1-D6/D3</f>
        <v>1.4144597576496247</v>
      </c>
      <c r="F6" s="87"/>
      <c r="G6" s="87"/>
      <c r="H6" s="1" t="s">
        <v>29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238880</v>
      </c>
      <c r="D11" s="198">
        <f>Inputs!D48</f>
        <v>0.9</v>
      </c>
      <c r="E11" s="88">
        <f t="shared" ref="E11:E22" si="0">C11*D11</f>
        <v>214992</v>
      </c>
      <c r="F11" s="112"/>
      <c r="G11" s="87"/>
      <c r="H11" s="3" t="s">
        <v>38</v>
      </c>
      <c r="I11" s="40">
        <f>Inputs!C73</f>
        <v>40594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142879</v>
      </c>
      <c r="D13" s="198">
        <f>Inputs!D50</f>
        <v>0.6</v>
      </c>
      <c r="E13" s="88">
        <f t="shared" si="0"/>
        <v>85727.4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9895</v>
      </c>
      <c r="D14" s="198">
        <f>Inputs!D51</f>
        <v>0.6</v>
      </c>
      <c r="E14" s="88">
        <f t="shared" si="0"/>
        <v>5937</v>
      </c>
      <c r="F14" s="112"/>
      <c r="G14" s="87"/>
      <c r="H14" s="86" t="s">
        <v>42</v>
      </c>
      <c r="I14" s="205">
        <f>Inputs!C76</f>
        <v>11824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52418</v>
      </c>
      <c r="J15" s="87"/>
    </row>
    <row r="16" spans="1:11" ht="13.9" x14ac:dyDescent="0.4">
      <c r="B16" s="1" t="s">
        <v>158</v>
      </c>
      <c r="C16" s="40">
        <f>Inputs!C53</f>
        <v>11851</v>
      </c>
      <c r="D16" s="198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24847</v>
      </c>
      <c r="D17" s="198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182674</v>
      </c>
      <c r="D18" s="198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61345</v>
      </c>
      <c r="D22" s="198">
        <f>Inputs!D59</f>
        <v>0.05</v>
      </c>
      <c r="E22" s="88">
        <f t="shared" si="0"/>
        <v>3067.25</v>
      </c>
      <c r="F22" s="112"/>
      <c r="G22" s="87"/>
      <c r="H22" s="3" t="s">
        <v>44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54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55</v>
      </c>
      <c r="I25" s="63">
        <f>E28/I28</f>
        <v>0.57302882475325867</v>
      </c>
    </row>
    <row r="26" spans="2:10" ht="15" customHeight="1" x14ac:dyDescent="0.4">
      <c r="B26" s="23" t="s">
        <v>56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57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59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6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70126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693</v>
      </c>
      <c r="D33" s="198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66</v>
      </c>
      <c r="I33" s="205">
        <f>Inputs!C81</f>
        <v>11000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81126</v>
      </c>
      <c r="J34" s="87"/>
    </row>
    <row r="35" spans="2:10" ht="13.9" x14ac:dyDescent="0.4">
      <c r="B35" s="3" t="s">
        <v>69</v>
      </c>
      <c r="C35" s="40">
        <f>Inputs!C65</f>
        <v>292606</v>
      </c>
      <c r="D35" s="198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201156</v>
      </c>
      <c r="D37" s="198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1413348</v>
      </c>
      <c r="D38" s="198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91529</v>
      </c>
      <c r="D40" s="198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24707</v>
      </c>
      <c r="D41" s="198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71887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80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82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84</v>
      </c>
      <c r="I48" s="207">
        <f>Inputs!C82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85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133544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3011012</v>
      </c>
      <c r="D74" s="209"/>
      <c r="E74" s="238">
        <f>Inputs!E91</f>
        <v>3011012</v>
      </c>
      <c r="F74" s="209"/>
      <c r="H74" s="238">
        <f>Inputs!F91</f>
        <v>3011012</v>
      </c>
      <c r="I74" s="209"/>
      <c r="K74" s="24"/>
    </row>
    <row r="75" spans="1:11" ht="15" customHeight="1" x14ac:dyDescent="0.4">
      <c r="B75" s="104" t="s">
        <v>105</v>
      </c>
      <c r="C75" s="77">
        <f>Data!C8</f>
        <v>2597400</v>
      </c>
      <c r="D75" s="159">
        <f>C75/$C$74</f>
        <v>0.86263355974668987</v>
      </c>
      <c r="E75" s="238">
        <f>Inputs!E92</f>
        <v>2634635.5</v>
      </c>
      <c r="F75" s="160">
        <f>E75/E74</f>
        <v>0.875</v>
      </c>
      <c r="H75" s="238">
        <f>Inputs!F92</f>
        <v>2597400</v>
      </c>
      <c r="I75" s="160">
        <f>H75/$H$74</f>
        <v>0.86263355974668987</v>
      </c>
      <c r="K75" s="24"/>
    </row>
    <row r="76" spans="1:11" ht="15" customHeight="1" x14ac:dyDescent="0.4">
      <c r="B76" s="35" t="s">
        <v>95</v>
      </c>
      <c r="C76" s="161">
        <f>C74-C75</f>
        <v>413612</v>
      </c>
      <c r="D76" s="210"/>
      <c r="E76" s="162">
        <f>E74-E75</f>
        <v>376376.5</v>
      </c>
      <c r="F76" s="210"/>
      <c r="H76" s="162">
        <f>H74-H75</f>
        <v>413612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147240</v>
      </c>
      <c r="D77" s="159">
        <f>C77/$C$74</f>
        <v>4.8900502555287058E-2</v>
      </c>
      <c r="E77" s="238">
        <f>Inputs!E93</f>
        <v>151755.0048</v>
      </c>
      <c r="F77" s="160">
        <f>E77/E74</f>
        <v>5.04E-2</v>
      </c>
      <c r="H77" s="238">
        <f>Inputs!F93</f>
        <v>151755.0048</v>
      </c>
      <c r="I77" s="160">
        <f>H77/$H$74</f>
        <v>5.04E-2</v>
      </c>
      <c r="K77" s="24"/>
    </row>
    <row r="78" spans="1:11" ht="15" customHeight="1" x14ac:dyDescent="0.4">
      <c r="B78" s="73" t="s">
        <v>172</v>
      </c>
      <c r="C78" s="77">
        <f>MAX(Data!C12,0)</f>
        <v>27574.666666666668</v>
      </c>
      <c r="D78" s="159">
        <f>C78/$C$74</f>
        <v>9.1579398111554088E-3</v>
      </c>
      <c r="E78" s="180">
        <f>E74*F78</f>
        <v>27574.666666666672</v>
      </c>
      <c r="F78" s="160">
        <f>I78</f>
        <v>9.1579398111554088E-3</v>
      </c>
      <c r="H78" s="238">
        <f>Inputs!F97</f>
        <v>27574.666666666672</v>
      </c>
      <c r="I78" s="160">
        <f>H78/$H$74</f>
        <v>9.1579398111554088E-3</v>
      </c>
      <c r="K78" s="24"/>
    </row>
    <row r="79" spans="1:11" ht="15" customHeight="1" x14ac:dyDescent="0.4">
      <c r="B79" s="256" t="s">
        <v>232</v>
      </c>
      <c r="C79" s="257">
        <f>C76-C77-C78</f>
        <v>238797.33333333334</v>
      </c>
      <c r="D79" s="258">
        <f>C79/C74</f>
        <v>7.9307997886867723E-2</v>
      </c>
      <c r="E79" s="259">
        <f>E76-E77-E78</f>
        <v>197046.82853333332</v>
      </c>
      <c r="F79" s="258">
        <f>E79/E74</f>
        <v>6.5442060188844589E-2</v>
      </c>
      <c r="G79" s="260"/>
      <c r="H79" s="259">
        <f>H76-H77-H78</f>
        <v>234282.32853333332</v>
      </c>
      <c r="I79" s="258">
        <f>H79/H74</f>
        <v>7.7808500442154774E-2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24063</v>
      </c>
      <c r="D81" s="159">
        <f>C81/$C$74</f>
        <v>7.9916652607163307E-3</v>
      </c>
      <c r="E81" s="180">
        <f>E74*F81</f>
        <v>24063</v>
      </c>
      <c r="F81" s="160">
        <f>I81</f>
        <v>7.9916652607163307E-3</v>
      </c>
      <c r="H81" s="238">
        <f>Inputs!F94</f>
        <v>24063</v>
      </c>
      <c r="I81" s="160">
        <f>H81/$H$74</f>
        <v>7.9916652607163307E-3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35067</v>
      </c>
      <c r="D82" s="159">
        <f>C82/$C$74</f>
        <v>1.1646250496510809E-2</v>
      </c>
      <c r="E82" s="238">
        <f>Inputs!E95</f>
        <v>60220.24</v>
      </c>
      <c r="F82" s="160">
        <f>E82/E74</f>
        <v>0.02</v>
      </c>
      <c r="H82" s="238">
        <f>Inputs!F95</f>
        <v>60220.24</v>
      </c>
      <c r="I82" s="160">
        <f>H82/$H$74</f>
        <v>0.02</v>
      </c>
      <c r="K82" s="24"/>
    </row>
    <row r="83" spans="1:11" ht="15" customHeight="1" thickBot="1" x14ac:dyDescent="0.45">
      <c r="B83" s="105" t="s">
        <v>125</v>
      </c>
      <c r="C83" s="163">
        <f>C79-C81-C82-C80</f>
        <v>179667.33333333334</v>
      </c>
      <c r="D83" s="164">
        <f>C83/$C$74</f>
        <v>5.9670082129640582E-2</v>
      </c>
      <c r="E83" s="165">
        <f>E79-E81-E82-E80</f>
        <v>112763.58853333333</v>
      </c>
      <c r="F83" s="164">
        <f>E83/E74</f>
        <v>3.745039492812826E-2</v>
      </c>
      <c r="H83" s="165">
        <f>H79-H81-H82-H80</f>
        <v>149999.08853333333</v>
      </c>
      <c r="I83" s="164">
        <f>H83/$H$74</f>
        <v>4.9816835181438444E-2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134750.5</v>
      </c>
      <c r="D85" s="258">
        <f>C85/$C$74</f>
        <v>4.4752561597230435E-2</v>
      </c>
      <c r="E85" s="264">
        <f>E83*(1-F84)</f>
        <v>84572.691399999996</v>
      </c>
      <c r="F85" s="258">
        <f>E85/E74</f>
        <v>2.8087796196096197E-2</v>
      </c>
      <c r="G85" s="260"/>
      <c r="H85" s="264">
        <f>H83*(1-I84)</f>
        <v>112499.3164</v>
      </c>
      <c r="I85" s="258">
        <f>H85/$H$74</f>
        <v>3.7362626386078832E-2</v>
      </c>
      <c r="K85" s="24"/>
    </row>
    <row r="86" spans="1:11" ht="15" customHeight="1" x14ac:dyDescent="0.4">
      <c r="B86" s="87" t="s">
        <v>160</v>
      </c>
      <c r="C86" s="167">
        <f>C85*Data!C4/Common_Shares</f>
        <v>0.73625713077546118</v>
      </c>
      <c r="D86" s="209"/>
      <c r="E86" s="168">
        <f>E85*Data!C4/Common_Shares</f>
        <v>0.46209288360430956</v>
      </c>
      <c r="F86" s="209"/>
      <c r="H86" s="168">
        <f>H85*Data!C4/Common_Shares</f>
        <v>0.61467990031105468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0.13946673631140072</v>
      </c>
      <c r="D87" s="209"/>
      <c r="E87" s="262">
        <f>E86*Exchange_Rate/Dashboard!G3</f>
        <v>8.7532716024276466E-2</v>
      </c>
      <c r="F87" s="209"/>
      <c r="H87" s="262">
        <f>H86*Exchange_Rate/Dashboard!G3</f>
        <v>0.11643676643553558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0.45</v>
      </c>
      <c r="D88" s="166">
        <f>C88/C86</f>
        <v>0.61119951330867051</v>
      </c>
      <c r="E88" s="170">
        <f>Inputs!E98</f>
        <v>0.36000000000000004</v>
      </c>
      <c r="F88" s="166">
        <f>E88/E86</f>
        <v>0.77906415089540371</v>
      </c>
      <c r="H88" s="170">
        <f>Inputs!F98</f>
        <v>0.45</v>
      </c>
      <c r="I88" s="166">
        <f>H88/H86</f>
        <v>0.73208835976624664</v>
      </c>
      <c r="K88" s="24"/>
    </row>
    <row r="89" spans="1:11" ht="15" customHeight="1" x14ac:dyDescent="0.4">
      <c r="B89" s="87" t="s">
        <v>221</v>
      </c>
      <c r="C89" s="261">
        <f>C88*Exchange_Rate/Dashboard!G3</f>
        <v>8.5242001356276798E-2</v>
      </c>
      <c r="D89" s="209"/>
      <c r="E89" s="261">
        <f>E88*Exchange_Rate/Dashboard!G3</f>
        <v>6.8193601085021441E-2</v>
      </c>
      <c r="F89" s="209"/>
      <c r="H89" s="261">
        <f>H88*Exchange_Rate/Dashboard!G3</f>
        <v>8.5242001356276798E-2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12.435840135875692</v>
      </c>
      <c r="H93" s="87" t="s">
        <v>209</v>
      </c>
      <c r="I93" s="144">
        <f>FV(H87,D93,0,-(H86/(C93-D94)))*Exchange_Rate</f>
        <v>18.860528597196726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8.8569982346103462</v>
      </c>
      <c r="H94" s="87" t="s">
        <v>210</v>
      </c>
      <c r="I94" s="144">
        <f>FV(H89,D93,0,-(H88/(C93-D94)))*Exchange_Rate</f>
        <v>11.98338959384162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1716190.6435493808</v>
      </c>
      <c r="D97" s="213"/>
      <c r="E97" s="123">
        <f>PV(C94,D93,0,-F93)</f>
        <v>6.1828103994461179</v>
      </c>
      <c r="F97" s="213"/>
      <c r="H97" s="123">
        <f>PV(C94,D93,0,-I93)</f>
        <v>9.3770160339543036</v>
      </c>
      <c r="I97" s="123">
        <f>PV(C93,D93,0,-I93)</f>
        <v>12.806486743730272</v>
      </c>
      <c r="K97" s="24"/>
    </row>
    <row r="98" spans="2:11" ht="15" customHeight="1" x14ac:dyDescent="0.4">
      <c r="B98" s="28" t="s">
        <v>144</v>
      </c>
      <c r="C98" s="91">
        <f>-E53*Exchange_Rate</f>
        <v>-201475.50344498953</v>
      </c>
      <c r="D98" s="213"/>
      <c r="E98" s="213"/>
      <c r="F98" s="213"/>
      <c r="H98" s="123">
        <f>C98*Data!$C$4/Common_Shares</f>
        <v>-1.1008328435734898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1514715.1401043914</v>
      </c>
      <c r="D100" s="109">
        <f>MIN(F100*(1-C94),E100)</f>
        <v>5.0819775558726281</v>
      </c>
      <c r="E100" s="109">
        <f>MAX(E97+H98+E99,0)</f>
        <v>5.0819775558726281</v>
      </c>
      <c r="F100" s="109">
        <f>(E100+H100)/2</f>
        <v>6.6790803731267205</v>
      </c>
      <c r="H100" s="109">
        <f>MAX(C100*Data!$C$4/Common_Shares,0)</f>
        <v>8.276183190380813</v>
      </c>
      <c r="I100" s="109">
        <f>MAX(I97+H98+H99,0)</f>
        <v>11.705653900156783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1090413.8233970141</v>
      </c>
      <c r="D103" s="109">
        <f>MIN(F103*(1-C94),E103)</f>
        <v>4.4034934668262888</v>
      </c>
      <c r="E103" s="123">
        <f>PV(C94,D93,0,-F94)</f>
        <v>4.4034934668262888</v>
      </c>
      <c r="F103" s="109">
        <f>(E103+H103)/2</f>
        <v>5.1806779914499828</v>
      </c>
      <c r="H103" s="123">
        <f>PV(C94,D93,0,-I94)</f>
        <v>5.9578625160736767</v>
      </c>
      <c r="I103" s="109">
        <f>PV(C93,D93,0,-I94)</f>
        <v>8.1368408731289623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868020.09081933007</v>
      </c>
      <c r="D106" s="109">
        <f>(D100+D103)/2</f>
        <v>4.7427355113494585</v>
      </c>
      <c r="E106" s="123">
        <f>(E100+E103)/2</f>
        <v>4.7427355113494585</v>
      </c>
      <c r="F106" s="109">
        <f>(F100+F103)/2</f>
        <v>5.9298791822883512</v>
      </c>
      <c r="H106" s="123">
        <f>(H100+H103)/2</f>
        <v>7.1170228532272448</v>
      </c>
      <c r="I106" s="123">
        <f>(I100+I103)/2</f>
        <v>9.9212473866428716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