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1897AC4-590A-491E-B61B-45BAE7938FC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6" i="4"/>
  <c r="E95" i="4"/>
  <c r="F91" i="4"/>
  <c r="F93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44" i="4"/>
  <c r="M52" i="2"/>
  <c r="F95" i="4" l="1"/>
  <c r="E92" i="4"/>
  <c r="F97" i="4"/>
  <c r="F94" i="4"/>
  <c r="F92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<sst xmlns="http://schemas.openxmlformats.org/spreadsheetml/2006/main" count="391" uniqueCount="271">
  <si>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</si>
  <si>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</si>
  <si>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</si>
  <si>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</si>
  <si>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</si>
  <si>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</si>
  <si>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</si>
  <si>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</si>
  <si>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</si>
  <si>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</si>
  <si>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</si>
  <si>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</si>
  <si>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</si>
  <si>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</si>
  <si>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</si>
  <si>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</si>
  <si>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</si>
  <si>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</si>
  <si>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</si>
  <si>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</si>
  <si>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</si>
  <si>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</si>
  <si>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</si>
  <si>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</si>
  <si>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</si>
  <si>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</si>
  <si>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</si>
  <si>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</si>
  <si>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</si>
  <si>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</si>
  <si>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</si>
  <si>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</si>
  <si>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</si>
  <si>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</si>
  <si>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</si>
  <si>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</si>
  <si>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</si>
  <si>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</si>
  <si>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</si>
  <si>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</si>
  <si>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</si>
  <si>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</si>
  <si>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</si>
  <si>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</si>
  <si>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</si>
  <si>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</si>
  <si>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</si>
  <si>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</si>
  <si>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</si>
  <si>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</si>
  <si>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</si>
  <si>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</si>
  <si>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</si>
  <si>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</si>
  <si>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</si>
  <si>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</si>
  <si>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</si>
  <si>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</si>
  <si>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</si>
  <si>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</si>
  <si>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</si>
  <si>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</si>
  <si>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</si>
  <si>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</si>
  <si>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</si>
  <si>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</si>
  <si>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</si>
  <si>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</si>
  <si>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</si>
  <si>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</si>
  <si>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</si>
  <si>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</si>
  <si>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</si>
  <si>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</si>
  <si>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</si>
  <si>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</si>
  <si>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</si>
  <si>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</si>
  <si>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</si>
  <si>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</si>
  <si>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</si>
  <si>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</si>
  <si>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</si>
  <si>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</si>
  <si>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</si>
  <si>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</si>
  <si>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</si>
  <si>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</si>
  <si>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</si>
  <si>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</si>
  <si>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</si>
  <si>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</si>
  <si>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</si>
  <si>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</si>
  <si>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</si>
  <si>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</si>
  <si>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</si>
  <si>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</si>
  <si>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</si>
  <si>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</si>
  <si>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</si>
  <si>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</si>
  <si>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</si>
  <si>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</si>
  <si>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</si>
  <si>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</si>
  <si>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</si>
  <si>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</si>
  <si>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</si>
  <si>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</si>
  <si>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</si>
  <si>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</si>
  <si>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</si>
  <si>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</si>
  <si>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</si>
  <si>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</si>
  <si>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</si>
  <si>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</si>
  <si>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</si>
  <si>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</si>
  <si>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</si>
  <si>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</si>
  <si>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</si>
  <si>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</si>
  <si>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</si>
  <si>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</si>
  <si>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</si>
  <si>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</si>
  <si>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</si>
  <si>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</si>
  <si>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</si>
  <si>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</si>
  <si>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</si>
  <si>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</si>
  <si>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</si>
  <si>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</si>
  <si>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</si>
  <si>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</si>
  <si>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</si>
  <si>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</si>
  <si>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</si>
  <si>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</si>
  <si>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</si>
  <si>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</si>
  <si>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</si>
  <si>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</si>
  <si>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</si>
  <si>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</si>
  <si>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</si>
  <si>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</si>
  <si>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</si>
  <si>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</si>
  <si>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</si>
  <si>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</si>
  <si>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</si>
  <si>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</si>
  <si>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</si>
  <si>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</si>
  <si>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</si>
  <si>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</si>
  <si>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</si>
  <si>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</si>
  <si>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</si>
  <si>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</si>
  <si>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</si>
  <si>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</si>
  <si>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</si>
  <si>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</si>
  <si>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</si>
  <si>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</si>
  <si>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</si>
  <si>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</si>
  <si>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</si>
  <si>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</si>
  <si>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</si>
  <si>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</si>
  <si>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</si>
  <si>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</si>
  <si>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</si>
  <si>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</si>
  <si>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</si>
  <si>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</si>
  <si>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</si>
  <si>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</si>
  <si>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</si>
  <si>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</si>
  <si>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</si>
  <si>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</si>
  <si>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</si>
  <si>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</si>
  <si>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</si>
  <si>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</si>
  <si>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</si>
  <si>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</si>
  <si>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</si>
  <si>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</si>
  <si>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</si>
  <si>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</si>
  <si>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</si>
  <si>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</si>
  <si>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</si>
  <si>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</si>
  <si>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</si>
  <si>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</si>
  <si>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</si>
  <si>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</si>
  <si>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</si>
  <si>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</si>
  <si>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</si>
  <si>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</si>
  <si>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</si>
  <si>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</si>
  <si>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</si>
  <si>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</si>
  <si>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</si>
  <si>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</si>
  <si>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</si>
  <si>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</si>
  <si>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</si>
  <si>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</si>
  <si>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</si>
  <si>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</si>
  <si>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</si>
  <si>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</si>
  <si>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</si>
  <si>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</si>
  <si>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</si>
  <si>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</si>
  <si>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</si>
  <si>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</si>
  <si>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</si>
  <si>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</si>
  <si>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</si>
  <si>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</si>
  <si>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</si>
  <si>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</si>
  <si>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</si>
  <si>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</si>
  <si>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</si>
  <si>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</si>
  <si>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</si>
  <si>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</si>
  <si>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</si>
  <si>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</si>
  <si>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</si>
  <si>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</si>
  <si>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</si>
  <si>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</si>
  <si>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</si>
  <si>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</si>
  <si>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</si>
  <si>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</si>
  <si>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</si>
  <si>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</si>
  <si>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</si>
  <si>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</si>
  <si>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</si>
  <si>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</si>
  <si>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</si>
  <si>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</si>
  <si>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</si>
  <si>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</si>
  <si>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</si>
  <si>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</si>
  <si>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0887.HK</t>
  </si>
  <si>
    <t>英皇鐘錶珠寶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</si>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</sst>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0.69931288683936033</c:v>
                </c:pt>
                <c:pt idx="1">
                  <c:v>0.22200134640260258</c:v>
                </c:pt>
                <c:pt idx="2">
                  <c:v>0</c:v>
                </c:pt>
                <c:pt idx="3">
                  <c:v>0</c:v>
                </c:pt>
                <c:pt idx="4">
                  <c:v>2.1205737325435711E-3</c:v>
                </c:pt>
                <c:pt idx="5">
                  <c:v>0</c:v>
                </c:pt>
                <c:pt idx="6">
                  <c:v>7.6565193025493528E-2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264</v>
      </c>
    </row>
    <row r="5" spans="1:5" ht="13.9" x14ac:dyDescent="0.4">
      <c r="B5" s="141" t="s">
        <v>196</v>
      </c>
      <c r="C5" s="191" t="s">
        <v>265</v>
      </c>
    </row>
    <row r="6" spans="1:5" ht="13.9" x14ac:dyDescent="0.4">
      <c r="B6" s="141" t="s">
        <v>164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71</v>
      </c>
      <c r="E8" s="267"/>
    </row>
    <row r="9" spans="1:5" ht="13.9" x14ac:dyDescent="0.4">
      <c r="B9" s="140" t="s">
        <v>217</v>
      </c>
      <c r="C9" s="192" t="s">
        <v>244</v>
      </c>
    </row>
    <row r="10" spans="1:5" ht="13.9" x14ac:dyDescent="0.4">
      <c r="B10" s="140" t="s">
        <v>218</v>
      </c>
      <c r="C10" s="193">
        <v>6779458129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257</v>
      </c>
      <c r="C15" s="176" t="s">
        <v>190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266</v>
      </c>
      <c r="D17" s="24"/>
    </row>
    <row r="18" spans="2:13" ht="13.9" x14ac:dyDescent="0.4">
      <c r="B18" s="240" t="s">
        <v>239</v>
      </c>
      <c r="C18" s="242" t="s">
        <v>247</v>
      </c>
      <c r="D18" s="24"/>
    </row>
    <row r="19" spans="2:13" ht="13.9" x14ac:dyDescent="0.4">
      <c r="B19" s="240" t="s">
        <v>240</v>
      </c>
      <c r="C19" s="242" t="s">
        <v>267</v>
      </c>
      <c r="D19" s="24"/>
    </row>
    <row r="20" spans="2:13" ht="13.9" x14ac:dyDescent="0.4">
      <c r="B20" s="241" t="s">
        <v>229</v>
      </c>
      <c r="C20" s="242" t="s">
        <v>267</v>
      </c>
      <c r="D20" s="24"/>
    </row>
    <row r="21" spans="2:13" ht="13.9" x14ac:dyDescent="0.4">
      <c r="B21" s="224" t="s">
        <v>232</v>
      </c>
      <c r="C21" s="242" t="s">
        <v>266</v>
      </c>
      <c r="D21" s="24"/>
    </row>
    <row r="22" spans="2:13" ht="78.75" x14ac:dyDescent="0.4">
      <c r="B22" s="226" t="s">
        <v>231</v>
      </c>
      <c r="C22" s="243" t="s">
        <v>268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4823223</v>
      </c>
      <c r="D25" s="149">
        <v>3684261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3372942</v>
      </c>
      <c r="D26" s="150">
        <v>2506999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1070762</v>
      </c>
      <c r="D27" s="150">
        <v>881682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10228</v>
      </c>
      <c r="D29" s="150">
        <v>6896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0</v>
      </c>
      <c r="D30" s="150">
        <v>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0.0065+0.0056</f>
        <v>1.21E-2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7.3333333333333334E-2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251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7">
        <v>5</v>
      </c>
    </row>
    <row r="87" spans="2:8" ht="13.9" x14ac:dyDescent="0.4">
      <c r="B87" s="10" t="s">
        <v>250</v>
      </c>
      <c r="C87" s="236" t="s">
        <v>269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4823223</v>
      </c>
      <c r="D91" s="209"/>
      <c r="E91" s="251">
        <f>C91</f>
        <v>4823223</v>
      </c>
      <c r="F91" s="251">
        <f>C91</f>
        <v>4823223</v>
      </c>
    </row>
    <row r="92" spans="2:8" ht="13.9" x14ac:dyDescent="0.4">
      <c r="B92" s="104" t="s">
        <v>106</v>
      </c>
      <c r="C92" s="77">
        <f>C26</f>
        <v>3372942</v>
      </c>
      <c r="D92" s="159">
        <f>C92/C91</f>
        <v>0.69931288683936033</v>
      </c>
      <c r="E92" s="252">
        <f>E91*D92</f>
        <v>3372942</v>
      </c>
      <c r="F92" s="252">
        <f>F91*D92</f>
        <v>3372942</v>
      </c>
    </row>
    <row r="93" spans="2:8" ht="13.9" x14ac:dyDescent="0.4">
      <c r="B93" s="104" t="s">
        <v>249</v>
      </c>
      <c r="C93" s="77">
        <f>C27+C28</f>
        <v>1070762</v>
      </c>
      <c r="D93" s="159">
        <f>C93/C91</f>
        <v>0.22200134640260258</v>
      </c>
      <c r="E93" s="252">
        <f>E91*D93</f>
        <v>1070762</v>
      </c>
      <c r="F93" s="252">
        <f>F91*D93</f>
        <v>1070762</v>
      </c>
    </row>
    <row r="94" spans="2:8" ht="13.9" x14ac:dyDescent="0.4">
      <c r="B94" s="104" t="s">
        <v>258</v>
      </c>
      <c r="C94" s="77">
        <f>C29</f>
        <v>10228</v>
      </c>
      <c r="D94" s="159">
        <f>C94/C91</f>
        <v>2.1205737325435711E-3</v>
      </c>
      <c r="E94" s="253"/>
      <c r="F94" s="252">
        <f>F91*D94</f>
        <v>10228</v>
      </c>
    </row>
    <row r="95" spans="2:8" ht="13.9" x14ac:dyDescent="0.4">
      <c r="B95" s="28" t="s">
        <v>248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1.21E-2</v>
      </c>
      <c r="D98" s="266"/>
      <c r="E98" s="254">
        <f>F98</f>
        <v>1.21E-2</v>
      </c>
      <c r="F98" s="254">
        <f>C98</f>
        <v>1.21E-2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0887.HK : 英皇鐘錶珠寶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0887.HK</v>
      </c>
      <c r="D3" s="278"/>
      <c r="E3" s="87"/>
      <c r="F3" s="3" t="s">
        <v>1</v>
      </c>
      <c r="G3" s="132">
        <v>0.16500000000000001</v>
      </c>
      <c r="H3" s="134" t="s">
        <v>270</v>
      </c>
    </row>
    <row r="4" spans="1:10" ht="15.75" customHeight="1" x14ac:dyDescent="0.4">
      <c r="B4" s="35" t="s">
        <v>196</v>
      </c>
      <c r="C4" s="279" t="str">
        <f>Inputs!C5</f>
        <v>英皇鐘錶珠寶</v>
      </c>
      <c r="D4" s="280"/>
      <c r="E4" s="87"/>
      <c r="F4" s="3" t="s">
        <v>3</v>
      </c>
      <c r="G4" s="283">
        <f>Inputs!C10</f>
        <v>6779458129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45593</v>
      </c>
      <c r="D5" s="282"/>
      <c r="E5" s="34"/>
      <c r="F5" s="35" t="s">
        <v>100</v>
      </c>
      <c r="G5" s="275">
        <f>G3*G4/1000000</f>
        <v>1118.6105912850001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N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0.69931288683936033</v>
      </c>
      <c r="F20" s="87" t="s">
        <v>212</v>
      </c>
      <c r="G20" s="172">
        <v>0.15</v>
      </c>
    </row>
    <row r="21" spans="1:8" ht="15.75" customHeight="1" x14ac:dyDescent="0.4">
      <c r="B21" s="137" t="s">
        <v>246</v>
      </c>
      <c r="C21" s="171">
        <f>Fin_Analysis!I77</f>
        <v>0.22200134640260258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2.1205737325435711E-3</v>
      </c>
      <c r="F24" s="140" t="s">
        <v>260</v>
      </c>
      <c r="G24" s="268">
        <f>G3/(Fin_Analysis!H86*G7)</f>
        <v>4.0387683111150832</v>
      </c>
    </row>
    <row r="25" spans="1:8" ht="15.75" customHeight="1" x14ac:dyDescent="0.4">
      <c r="B25" s="137" t="s">
        <v>245</v>
      </c>
      <c r="C25" s="171">
        <f>Fin_Analysis!I82</f>
        <v>0</v>
      </c>
      <c r="F25" s="140" t="s">
        <v>175</v>
      </c>
      <c r="G25" s="171">
        <f>Fin_Analysis!I88</f>
        <v>0.29617634281510608</v>
      </c>
    </row>
    <row r="26" spans="1:8" ht="15.75" customHeight="1" x14ac:dyDescent="0.4">
      <c r="B26" s="138" t="s">
        <v>174</v>
      </c>
      <c r="C26" s="171">
        <f>Fin_Analysis!I83</f>
        <v>7.6565193025493528E-2</v>
      </c>
      <c r="F26" s="141" t="s">
        <v>194</v>
      </c>
      <c r="G26" s="178">
        <f>Fin_Analysis!H88*Exchange_Rate/G3</f>
        <v>7.3333333333333334E-2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0.13184264184868624</v>
      </c>
      <c r="D29" s="129">
        <f>G29*(1+G20)</f>
        <v>0.24961849307464731</v>
      </c>
      <c r="E29" s="87"/>
      <c r="F29" s="131">
        <f>IF(Fin_Analysis!C108="Profit",Fin_Analysis!F100,IF(Fin_Analysis!C108="Dividend",Fin_Analysis!F103,Fin_Analysis!F106))</f>
        <v>0.15510899041021911</v>
      </c>
      <c r="G29" s="274">
        <f>IF(Fin_Analysis!C108="Profit",Fin_Analysis!I100,IF(Fin_Analysis!C108="Dividend",Fin_Analysis!I103,Fin_Analysis!I106))</f>
        <v>0.2170595591953455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>
        <f>C14</f>
        <v>379519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4823223</v>
      </c>
      <c r="D6" s="200">
        <f>IF(Inputs!D25="","",Inputs!D25)</f>
        <v>3684261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0.30914259331790017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3372942</v>
      </c>
      <c r="D8" s="199">
        <f>IF(Inputs!D26="","",Inputs!D26)</f>
        <v>2506999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1450281</v>
      </c>
      <c r="D9" s="151">
        <f t="shared" si="2"/>
        <v>1177262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1070762</v>
      </c>
      <c r="D10" s="199">
        <f>IF(Inputs!D27="","",Inputs!D27)</f>
        <v>881682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7.868576675803711E-2</v>
      </c>
      <c r="D13" s="229">
        <f t="shared" si="3"/>
        <v>8.0227758022572232E-2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379519</v>
      </c>
      <c r="D14" s="230">
        <f t="shared" ref="D14:M14" si="4">IF(D6="","",D9-D10-MAX(D11,0)-MAX(D12,0))</f>
        <v>295580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0.28398064821706476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10228</v>
      </c>
      <c r="D17" s="199">
        <f>IF(Inputs!D29="","",Inputs!D29)</f>
        <v>6896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369291</v>
      </c>
      <c r="D22" s="161">
        <f t="shared" ref="D22:M22" si="8">IF(D6="","",D14-MAX(D16,0)-MAX(D17,0)-ABS(MAX(D21,0)-MAX(D19,0)))</f>
        <v>288684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5.7423894769120153E-2</v>
      </c>
      <c r="D23" s="153">
        <f t="shared" si="9"/>
        <v>5.8767009177688553E-2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276968.25</v>
      </c>
      <c r="D24" s="77">
        <f>IF(D6="","",D22*(1-Fin_Analysis!$I$84))</f>
        <v>216513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0.27922226379016502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0.69931288683936033</v>
      </c>
      <c r="D42" s="156">
        <f t="shared" si="34"/>
        <v>0.6804618348157202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0.22200134640260258</v>
      </c>
      <c r="D43" s="153">
        <f t="shared" si="35"/>
        <v>0.23931040716170759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2.1205737325435711E-3</v>
      </c>
      <c r="D45" s="153">
        <f t="shared" si="37"/>
        <v>1.8717457856541652E-3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7.6565193025493528E-2</v>
      </c>
      <c r="D48" s="153">
        <f t="shared" si="40"/>
        <v>7.8356012236918071E-2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>
        <f t="shared" ref="C56:M56" si="46">IF(C22="","",IF(MAX(C17,0)&lt;=0,"-",C17/C22))</f>
        <v>2.7696315371888294E-2</v>
      </c>
      <c r="D56" s="153">
        <f t="shared" si="46"/>
        <v>2.3887711130509484E-2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4823223</v>
      </c>
      <c r="D74" s="209"/>
      <c r="E74" s="238">
        <f>Inputs!E91</f>
        <v>4823223</v>
      </c>
      <c r="F74" s="209"/>
      <c r="H74" s="238">
        <f>Inputs!F91</f>
        <v>4823223</v>
      </c>
      <c r="I74" s="209"/>
      <c r="K74" s="24"/>
    </row>
    <row r="75" spans="1:11" ht="15" customHeight="1" x14ac:dyDescent="0.4">
      <c r="B75" s="104" t="s">
        <v>106</v>
      </c>
      <c r="C75" s="77">
        <f>Data!C8</f>
        <v>3372942</v>
      </c>
      <c r="D75" s="159">
        <f>C75/$C$74</f>
        <v>0.69931288683936033</v>
      </c>
      <c r="E75" s="238">
        <f>Inputs!E92</f>
        <v>3372942</v>
      </c>
      <c r="F75" s="160">
        <f>E75/E74</f>
        <v>0.69931288683936033</v>
      </c>
      <c r="H75" s="238">
        <f>Inputs!F92</f>
        <v>3372942</v>
      </c>
      <c r="I75" s="160">
        <f>H75/$H$74</f>
        <v>0.69931288683936033</v>
      </c>
      <c r="K75" s="24"/>
    </row>
    <row r="76" spans="1:11" ht="15" customHeight="1" x14ac:dyDescent="0.4">
      <c r="B76" s="35" t="s">
        <v>96</v>
      </c>
      <c r="C76" s="161">
        <f>C74-C75</f>
        <v>1450281</v>
      </c>
      <c r="D76" s="210"/>
      <c r="E76" s="162">
        <f>E74-E75</f>
        <v>1450281</v>
      </c>
      <c r="F76" s="210"/>
      <c r="H76" s="162">
        <f>H74-H75</f>
        <v>1450281</v>
      </c>
      <c r="I76" s="210"/>
      <c r="K76" s="24"/>
    </row>
    <row r="77" spans="1:11" ht="15" customHeight="1" x14ac:dyDescent="0.4">
      <c r="B77" s="104" t="s">
        <v>249</v>
      </c>
      <c r="C77" s="77">
        <f>Data!C10+MAX(Data!C11,0)</f>
        <v>1070762</v>
      </c>
      <c r="D77" s="159">
        <f>C77/$C$74</f>
        <v>0.22200134640260258</v>
      </c>
      <c r="E77" s="238">
        <f>Inputs!E93</f>
        <v>1070762</v>
      </c>
      <c r="F77" s="160">
        <f>E77/E74</f>
        <v>0.22200134640260258</v>
      </c>
      <c r="H77" s="238">
        <f>Inputs!F93</f>
        <v>1070762</v>
      </c>
      <c r="I77" s="160">
        <f>H77/$H$74</f>
        <v>0.22200134640260258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379519</v>
      </c>
      <c r="D79" s="258">
        <f>C79/C74</f>
        <v>7.868576675803711E-2</v>
      </c>
      <c r="E79" s="259">
        <f>E76-E77-E78</f>
        <v>379519</v>
      </c>
      <c r="F79" s="258">
        <f>E79/E74</f>
        <v>7.868576675803711E-2</v>
      </c>
      <c r="G79" s="260"/>
      <c r="H79" s="259">
        <f>H76-H77-H78</f>
        <v>379519</v>
      </c>
      <c r="I79" s="258">
        <f>H79/H74</f>
        <v>7.868576675803711E-2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10228</v>
      </c>
      <c r="D81" s="159">
        <f>C81/$C$74</f>
        <v>2.1205737325435711E-3</v>
      </c>
      <c r="E81" s="180">
        <f>E74*F81</f>
        <v>10228</v>
      </c>
      <c r="F81" s="160">
        <f>I81</f>
        <v>2.1205737325435711E-3</v>
      </c>
      <c r="H81" s="238">
        <f>Inputs!F94</f>
        <v>10228</v>
      </c>
      <c r="I81" s="160">
        <f>H81/$H$74</f>
        <v>2.1205737325435711E-3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369291</v>
      </c>
      <c r="D83" s="164">
        <f>C83/$C$74</f>
        <v>7.6565193025493528E-2</v>
      </c>
      <c r="E83" s="165">
        <f>E79-E81-E82-E80</f>
        <v>369291</v>
      </c>
      <c r="F83" s="164">
        <f>E83/E74</f>
        <v>7.6565193025493528E-2</v>
      </c>
      <c r="H83" s="165">
        <f>H79-H81-H82-H80</f>
        <v>369291</v>
      </c>
      <c r="I83" s="164">
        <f>H83/$H$74</f>
        <v>7.6565193025493528E-2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276968.25</v>
      </c>
      <c r="D85" s="258">
        <f>C85/$C$74</f>
        <v>5.7423894769120153E-2</v>
      </c>
      <c r="E85" s="264">
        <f>E83*(1-F84)</f>
        <v>276968.25</v>
      </c>
      <c r="F85" s="258">
        <f>E85/E74</f>
        <v>5.7423894769120153E-2</v>
      </c>
      <c r="G85" s="260"/>
      <c r="H85" s="264">
        <f>H83*(1-I84)</f>
        <v>276968.25</v>
      </c>
      <c r="I85" s="258">
        <f>H85/$H$74</f>
        <v>5.7423894769120153E-2</v>
      </c>
      <c r="K85" s="24"/>
    </row>
    <row r="86" spans="1:11" ht="15" customHeight="1" x14ac:dyDescent="0.4">
      <c r="B86" s="87" t="s">
        <v>161</v>
      </c>
      <c r="C86" s="167">
        <f>C85*Data!C4/Common_Shares</f>
        <v>4.0854039471861746E-2</v>
      </c>
      <c r="D86" s="209"/>
      <c r="E86" s="168">
        <f>E85*Data!C4/Common_Shares</f>
        <v>4.0854039471861746E-2</v>
      </c>
      <c r="F86" s="209"/>
      <c r="H86" s="168">
        <f>H85*Data!C4/Common_Shares</f>
        <v>4.0854039471861746E-2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0.24760023922340452</v>
      </c>
      <c r="D87" s="209"/>
      <c r="E87" s="262">
        <f>E86*Exchange_Rate/Dashboard!G3</f>
        <v>0.24760023922340452</v>
      </c>
      <c r="F87" s="209"/>
      <c r="H87" s="262">
        <f>H86*Exchange_Rate/Dashboard!G3</f>
        <v>0.24760023922340452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1.21E-2</v>
      </c>
      <c r="D88" s="166">
        <f>C88/C86</f>
        <v>0.29617634281510608</v>
      </c>
      <c r="E88" s="170">
        <f>Inputs!E98</f>
        <v>1.21E-2</v>
      </c>
      <c r="F88" s="166">
        <f>E88/E86</f>
        <v>0.29617634281510608</v>
      </c>
      <c r="H88" s="170">
        <f>Inputs!F98</f>
        <v>1.21E-2</v>
      </c>
      <c r="I88" s="166">
        <f>H88/H86</f>
        <v>0.29617634281510608</v>
      </c>
      <c r="K88" s="24"/>
    </row>
    <row r="89" spans="1:11" ht="15" customHeight="1" x14ac:dyDescent="0.4">
      <c r="B89" s="87" t="s">
        <v>222</v>
      </c>
      <c r="C89" s="261">
        <f>C88*Exchange_Rate/Dashboard!G3</f>
        <v>7.3333333333333334E-2</v>
      </c>
      <c r="D89" s="209"/>
      <c r="E89" s="261">
        <f>E88*Exchange_Rate/Dashboard!G3</f>
        <v>7.3333333333333334E-2</v>
      </c>
      <c r="F89" s="209"/>
      <c r="H89" s="261">
        <f>H88*Exchange_Rate/Dashboard!G3</f>
        <v>7.3333333333333334E-2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210</v>
      </c>
      <c r="F93" s="144">
        <f>FV(E87,D93,0,-(E86/(C93-D94)))*Exchange_Rate</f>
        <v>2.2350125628042776</v>
      </c>
      <c r="H93" s="87" t="s">
        <v>210</v>
      </c>
      <c r="I93" s="144">
        <f>FV(H87,D93,0,-(H86/(C93-D94)))*Exchange_Rate</f>
        <v>2.2350125628042776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0.31197958270746268</v>
      </c>
      <c r="H94" s="87" t="s">
        <v>211</v>
      </c>
      <c r="I94" s="144">
        <f>FV(H89,D93,0,-(H88/(C93-D94)))*Exchange_Rate</f>
        <v>0.31197958270746268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7533308.4454053929</v>
      </c>
      <c r="D97" s="213"/>
      <c r="E97" s="123">
        <f>PV(C94,D93,0,-F93)</f>
        <v>1.1111962493256948</v>
      </c>
      <c r="F97" s="213"/>
      <c r="H97" s="123">
        <f>PV(C94,D93,0,-I93)</f>
        <v>1.1111962493256948</v>
      </c>
      <c r="I97" s="123">
        <f>PV(C93,D93,0,-I93)</f>
        <v>1.5550083036467612</v>
      </c>
      <c r="K97" s="24"/>
    </row>
    <row r="98" spans="2:11" ht="15" customHeight="1" x14ac:dyDescent="0.4">
      <c r="B98" s="28" t="s">
        <v>145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C97+C98+$C$99</f>
        <v>7533308.4454053929</v>
      </c>
      <c r="D100" s="109">
        <f>MIN(F100*(1-C94),E100)</f>
        <v>0.94451681192684056</v>
      </c>
      <c r="E100" s="109">
        <f>MAX(E97+H98+E99,0)</f>
        <v>1.1111962493256948</v>
      </c>
      <c r="F100" s="109">
        <f>(E100+H100)/2</f>
        <v>1.1111962493256948</v>
      </c>
      <c r="H100" s="109">
        <f>MAX(C100*Data!$C$4/Common_Shares,0)</f>
        <v>1.1111962493256948</v>
      </c>
      <c r="I100" s="109">
        <f>MAX(I97+H98+H99,0)</f>
        <v>1.5550083036467612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1051554.905917543</v>
      </c>
      <c r="D103" s="109">
        <f>MIN(F103*(1-C94),E103)</f>
        <v>0.13184264184868624</v>
      </c>
      <c r="E103" s="123">
        <f>PV(C94,D93,0,-F94)</f>
        <v>0.15510899041021911</v>
      </c>
      <c r="F103" s="109">
        <f>(E103+H103)/2</f>
        <v>0.15510899041021911</v>
      </c>
      <c r="H103" s="123">
        <f>PV(C94,D93,0,-I94)</f>
        <v>0.15510899041021911</v>
      </c>
      <c r="I103" s="109">
        <f>PV(C93,D93,0,-I94)</f>
        <v>0.2170595591953455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4292431.6756614679</v>
      </c>
      <c r="D106" s="109">
        <f>(D100+D103)/2</f>
        <v>0.53817972688776339</v>
      </c>
      <c r="E106" s="123">
        <f>(E100+E103)/2</f>
        <v>0.63315261986795701</v>
      </c>
      <c r="F106" s="109">
        <f>(F100+F103)/2</f>
        <v>0.63315261986795701</v>
      </c>
      <c r="H106" s="123">
        <f>(H100+H103)/2</f>
        <v>0.63315261986795701</v>
      </c>
      <c r="I106" s="123">
        <f>(I100+I103)/2</f>
        <v>0.88603393142105336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2024-12-13T02:51:33Z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