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5A91A0E-C27F-43C4-A086-54AC6B84773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7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M52" i="2"/>
  <c r="F96" i="4" l="1"/>
  <c r="E92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C52" i="2" s="1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D100" i="3" s="1"/>
  <c r="H106" i="3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<sst xmlns="http://schemas.openxmlformats.org/spreadsheetml/2006/main" count="391" uniqueCount="271">
  <si>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</si>
  <si>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</si>
  <si>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</si>
  <si>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</si>
  <si>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</si>
  <si>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</si>
  <si>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</si>
  <si>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</si>
  <si>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</si>
  <si>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</si>
  <si>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</si>
  <si>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</si>
  <si>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</si>
  <si>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</si>
  <si>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</si>
  <si>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</si>
  <si>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</si>
  <si>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</si>
  <si>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</si>
  <si>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</si>
  <si>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</si>
  <si>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</si>
  <si>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</si>
  <si>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</si>
  <si>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</si>
  <si>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</si>
  <si>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</si>
  <si>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</si>
  <si>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</si>
  <si>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</si>
  <si>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</si>
  <si>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</si>
  <si>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</si>
  <si>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</si>
  <si>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</si>
  <si>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</si>
  <si>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</si>
  <si>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</si>
  <si>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</si>
  <si>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</si>
  <si>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</si>
  <si>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</si>
  <si>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</si>
  <si>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</si>
  <si>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</si>
  <si>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</si>
  <si>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</si>
  <si>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</si>
  <si>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</si>
  <si>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</si>
  <si>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</si>
  <si>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</si>
  <si>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</si>
  <si>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</si>
  <si>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</si>
  <si>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</si>
  <si>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</si>
  <si>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</si>
  <si>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</si>
  <si>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</si>
  <si>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</si>
  <si>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</si>
  <si>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</si>
  <si>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</si>
  <si>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</si>
  <si>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</si>
  <si>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</si>
  <si>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</si>
  <si>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</si>
  <si>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</si>
  <si>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</si>
  <si>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</si>
  <si>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</si>
  <si>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</si>
  <si>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</si>
  <si>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</si>
  <si>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</si>
  <si>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</si>
  <si>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</si>
  <si>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</si>
  <si>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</si>
  <si>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</si>
  <si>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</si>
  <si>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</si>
  <si>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</si>
  <si>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</si>
  <si>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</si>
  <si>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</si>
  <si>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</si>
  <si>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</si>
  <si>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</si>
  <si>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</si>
  <si>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</si>
  <si>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</si>
  <si>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</si>
  <si>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</si>
  <si>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</si>
  <si>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</si>
  <si>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</si>
  <si>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</si>
  <si>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</si>
  <si>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</si>
  <si>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</si>
  <si>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</si>
  <si>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</si>
  <si>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</si>
  <si>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</si>
  <si>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</si>
  <si>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</si>
  <si>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</si>
  <si>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</si>
  <si>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</si>
  <si>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</si>
  <si>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</si>
  <si>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</si>
  <si>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</si>
  <si>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</si>
  <si>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</si>
  <si>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</si>
  <si>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</si>
  <si>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</si>
  <si>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</si>
  <si>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</si>
  <si>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</si>
  <si>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</si>
  <si>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</si>
  <si>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</si>
  <si>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</si>
  <si>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</si>
  <si>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</si>
  <si>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</si>
  <si>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</si>
  <si>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</si>
  <si>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</si>
  <si>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</si>
  <si>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</si>
  <si>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</si>
  <si>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</si>
  <si>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</si>
  <si>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</si>
  <si>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</si>
  <si>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</si>
  <si>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</si>
  <si>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</si>
  <si>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</si>
  <si>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</si>
  <si>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</si>
  <si>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</si>
  <si>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</si>
  <si>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</si>
  <si>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</si>
  <si>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</si>
  <si>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</si>
  <si>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</si>
  <si>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</si>
  <si>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</si>
  <si>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</si>
  <si>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</si>
  <si>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</si>
  <si>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</si>
  <si>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</si>
  <si>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</si>
  <si>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</si>
  <si>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</si>
  <si>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</si>
  <si>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</si>
  <si>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</si>
  <si>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</si>
  <si>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</si>
  <si>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</si>
  <si>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</si>
  <si>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</si>
  <si>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</si>
  <si>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</si>
  <si>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</si>
  <si>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</si>
  <si>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</si>
  <si>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</si>
  <si>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</si>
  <si>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</si>
  <si>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</si>
  <si>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</si>
  <si>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</si>
  <si>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</si>
  <si>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</si>
  <si>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</si>
  <si>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</si>
  <si>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</si>
  <si>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</si>
  <si>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</si>
  <si>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</si>
  <si>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</si>
  <si>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</si>
  <si>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</si>
  <si>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</si>
  <si>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</si>
  <si>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</si>
  <si>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</si>
  <si>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</si>
  <si>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</si>
  <si>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</si>
  <si>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</si>
  <si>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</si>
  <si>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</si>
  <si>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</si>
  <si>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</si>
  <si>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</si>
  <si>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</si>
  <si>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</si>
  <si>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</si>
  <si>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</si>
  <si>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</si>
  <si>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</si>
  <si>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</si>
  <si>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</si>
  <si>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</si>
  <si>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</si>
  <si>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</si>
  <si>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</si>
  <si>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</si>
  <si>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</si>
  <si>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</si>
  <si>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</si>
  <si>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</si>
  <si>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</si>
  <si>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</si>
  <si>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</si>
  <si>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</si>
  <si>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</si>
  <si>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</si>
  <si>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</si>
  <si>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</si>
  <si>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</si>
  <si>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</si>
  <si>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</si>
  <si>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</si>
  <si>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</si>
  <si>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</si>
  <si>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</si>
  <si>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</si>
  <si>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</si>
  <si>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</si>
  <si>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</si>
  <si>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</si>
  <si>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</si>
  <si>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</si>
  <si>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</si>
  <si>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</si>
  <si>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</si>
  <si>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</si>
  <si>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</si>
  <si>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</si>
  <si>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</si>
  <si>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</si>
  <si>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</si>
  <si>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</si>
  <si>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</si>
  <si>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</si>
  <si>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</si>
  <si>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</si>
  <si>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</si>
  <si>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</si>
  <si>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0941.HK</t>
  </si>
  <si>
    <t>中国移动</t>
  </si>
  <si>
    <t>Tier 3</t>
  </si>
  <si>
    <t>C0010</t>
  </si>
  <si>
    <t>CNY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</si>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</sst>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</c:v>
                </c:pt>
                <c:pt idx="1">
                  <c:v>0.8668930922046667</c:v>
                </c:pt>
                <c:pt idx="2">
                  <c:v>2.2325505205376484E-4</c:v>
                </c:pt>
                <c:pt idx="3">
                  <c:v>2.2215198715160572E-2</c:v>
                </c:pt>
                <c:pt idx="4">
                  <c:v>3.6955976811858409E-3</c:v>
                </c:pt>
                <c:pt idx="5">
                  <c:v>2.5630406545468234E-2</c:v>
                </c:pt>
                <c:pt idx="6">
                  <c:v>8.1342449801464822E-2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262</v>
      </c>
    </row>
    <row r="5" spans="1:5" ht="13.9" x14ac:dyDescent="0.4">
      <c r="B5" s="141" t="s">
        <v>195</v>
      </c>
      <c r="C5" s="191" t="s">
        <v>263</v>
      </c>
    </row>
    <row r="6" spans="1:5" ht="13.9" x14ac:dyDescent="0.4">
      <c r="B6" s="141" t="s">
        <v>163</v>
      </c>
      <c r="C6" s="189">
        <v>45603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264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21481669957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258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267</v>
      </c>
      <c r="D18" s="24"/>
    </row>
    <row r="19" spans="2:13" ht="13.9" x14ac:dyDescent="0.4">
      <c r="B19" s="240" t="s">
        <v>239</v>
      </c>
      <c r="C19" s="242" t="s">
        <v>267</v>
      </c>
      <c r="D19" s="24"/>
    </row>
    <row r="20" spans="2:13" ht="13.9" x14ac:dyDescent="0.4">
      <c r="B20" s="241" t="s">
        <v>228</v>
      </c>
      <c r="C20" s="242" t="s">
        <v>267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268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1009309</v>
      </c>
      <c r="D25" s="149">
        <v>937259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0</v>
      </c>
      <c r="D26" s="150">
        <v>0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874963</v>
      </c>
      <c r="D27" s="150">
        <v>808160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3730</v>
      </c>
      <c r="D29" s="150">
        <v>2330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169</v>
      </c>
      <c r="D30" s="150">
        <v>135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v>22422</v>
      </c>
      <c r="D31" s="150">
        <v>22811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207132</v>
      </c>
      <c r="D32" s="150">
        <v>200077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181263</v>
      </c>
      <c r="D33" s="150">
        <v>189588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498104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>
        <v>68428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>
        <v>12026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558565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88107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35175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67759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1345985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4253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>
        <v>795161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2.175+2.373</f>
        <v>4.548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6.5733228756880785E-2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172891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v>100939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176336</v>
      </c>
      <c r="D51" s="60">
        <v>0.6</v>
      </c>
      <c r="E51" s="112"/>
    </row>
    <row r="52" spans="2:5" ht="13.9" x14ac:dyDescent="0.4">
      <c r="B52" s="3" t="s">
        <v>43</v>
      </c>
      <c r="C52" s="59">
        <v>19344</v>
      </c>
      <c r="D52" s="60">
        <v>0.5</v>
      </c>
      <c r="E52" s="112"/>
    </row>
    <row r="53" spans="2:5" ht="13.9" x14ac:dyDescent="0.4">
      <c r="B53" s="1" t="s">
        <v>158</v>
      </c>
      <c r="C53" s="59">
        <v>22728</v>
      </c>
      <c r="D53" s="60">
        <f>D50</f>
        <v>0.6</v>
      </c>
      <c r="E53" s="112"/>
    </row>
    <row r="54" spans="2:5" ht="13.9" x14ac:dyDescent="0.4">
      <c r="B54" s="3" t="s">
        <v>260</v>
      </c>
      <c r="C54" s="59">
        <v>28822</v>
      </c>
      <c r="D54" s="60">
        <v>0.1</v>
      </c>
      <c r="E54" s="112"/>
    </row>
    <row r="55" spans="2:5" ht="13.9" x14ac:dyDescent="0.4">
      <c r="B55" s="3" t="s">
        <v>46</v>
      </c>
      <c r="C55" s="59">
        <v>12616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>
        <v>507</v>
      </c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>
        <v>75495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182795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5625</v>
      </c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185013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94862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781712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34291</v>
      </c>
      <c r="D70" s="60">
        <v>0.05</v>
      </c>
      <c r="E70" s="112"/>
    </row>
    <row r="71" spans="2:5" ht="13.9" x14ac:dyDescent="0.4">
      <c r="B71" s="3" t="s">
        <v>74</v>
      </c>
      <c r="C71" s="59">
        <v>47891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79740</v>
      </c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>
        <v>33448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554255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>
        <v>62222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83483</v>
      </c>
    </row>
    <row r="83" spans="2:8" ht="14.25" thickTop="1" x14ac:dyDescent="0.4">
      <c r="B83" s="73" t="s">
        <v>220</v>
      </c>
      <c r="C83" s="59">
        <v>1379544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269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1009309</v>
      </c>
      <c r="D91" s="209"/>
      <c r="E91" s="251">
        <f>C91</f>
        <v>1009309</v>
      </c>
      <c r="F91" s="251">
        <f>C91</f>
        <v>1009309</v>
      </c>
    </row>
    <row r="92" spans="2:8" ht="13.9" x14ac:dyDescent="0.4">
      <c r="B92" s="104" t="s">
        <v>105</v>
      </c>
      <c r="C92" s="77">
        <f>C26</f>
        <v>0</v>
      </c>
      <c r="D92" s="159">
        <f>C92/C91</f>
        <v>0</v>
      </c>
      <c r="E92" s="252">
        <f>E91*D92</f>
        <v>0</v>
      </c>
      <c r="F92" s="252">
        <f>F91*D92</f>
        <v>0</v>
      </c>
    </row>
    <row r="93" spans="2:8" ht="13.9" x14ac:dyDescent="0.4">
      <c r="B93" s="104" t="s">
        <v>246</v>
      </c>
      <c r="C93" s="77">
        <f>C27+C28</f>
        <v>874963</v>
      </c>
      <c r="D93" s="159">
        <f>C93/C91</f>
        <v>0.8668930922046667</v>
      </c>
      <c r="E93" s="252">
        <f>E91*D93</f>
        <v>874963</v>
      </c>
      <c r="F93" s="252">
        <f>F91*D93</f>
        <v>874963</v>
      </c>
    </row>
    <row r="94" spans="2:8" ht="13.9" x14ac:dyDescent="0.4">
      <c r="B94" s="104" t="s">
        <v>255</v>
      </c>
      <c r="C94" s="77">
        <f>C29</f>
        <v>3730</v>
      </c>
      <c r="D94" s="159">
        <f>C94/C91</f>
        <v>3.6955976811858409E-3</v>
      </c>
      <c r="E94" s="253"/>
      <c r="F94" s="252">
        <f>F91*D94</f>
        <v>3730</v>
      </c>
    </row>
    <row r="95" spans="2:8" ht="13.9" x14ac:dyDescent="0.4">
      <c r="B95" s="28" t="s">
        <v>245</v>
      </c>
      <c r="C95" s="77">
        <f>ABS(MAX(C33,0)-C32)</f>
        <v>25869</v>
      </c>
      <c r="D95" s="159">
        <f>C95/C91</f>
        <v>2.5630406545468234E-2</v>
      </c>
      <c r="E95" s="252">
        <f>E91*D95</f>
        <v>25869</v>
      </c>
      <c r="F95" s="252">
        <f>F91*D95</f>
        <v>25869</v>
      </c>
    </row>
    <row r="96" spans="2:8" ht="13.9" x14ac:dyDescent="0.4">
      <c r="B96" s="28" t="s">
        <v>109</v>
      </c>
      <c r="C96" s="77">
        <f>MAX(C31,0)</f>
        <v>22422</v>
      </c>
      <c r="D96" s="159">
        <f>C96/C91</f>
        <v>2.2215198715160572E-2</v>
      </c>
      <c r="E96" s="253"/>
      <c r="F96" s="252">
        <f>F91*D96</f>
        <v>22422</v>
      </c>
    </row>
    <row r="97" spans="2:7" ht="13.9" x14ac:dyDescent="0.4">
      <c r="B97" s="73" t="s">
        <v>172</v>
      </c>
      <c r="C97" s="77">
        <f>MAX(C30,0)/(1-C16)</f>
        <v>225.33333333333334</v>
      </c>
      <c r="D97" s="159">
        <f>C97/C91</f>
        <v>2.2325505205376484E-4</v>
      </c>
      <c r="E97" s="253"/>
      <c r="F97" s="252">
        <f>F91*D97</f>
        <v>225.33333333333334</v>
      </c>
    </row>
    <row r="98" spans="2:7" ht="13.9" x14ac:dyDescent="0.4">
      <c r="B98" s="86" t="s">
        <v>207</v>
      </c>
      <c r="C98" s="237">
        <f>C44</f>
        <v>4.548</v>
      </c>
      <c r="D98" s="266"/>
      <c r="E98" s="254">
        <f>F98</f>
        <v>4.548</v>
      </c>
      <c r="F98" s="254">
        <f>C98</f>
        <v>4.548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0941.HK : 中国移动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0941.HK</v>
      </c>
      <c r="D3" s="278"/>
      <c r="E3" s="87"/>
      <c r="F3" s="3" t="s">
        <v>1</v>
      </c>
      <c r="G3" s="132">
        <v>74.05</v>
      </c>
      <c r="H3" s="134" t="s">
        <v>270</v>
      </c>
    </row>
    <row r="4" spans="1:10" ht="15.75" customHeight="1" x14ac:dyDescent="0.4">
      <c r="B4" s="35" t="s">
        <v>195</v>
      </c>
      <c r="C4" s="279" t="str">
        <f>Inputs!C5</f>
        <v>中国移动</v>
      </c>
      <c r="D4" s="280"/>
      <c r="E4" s="87"/>
      <c r="F4" s="3" t="s">
        <v>2</v>
      </c>
      <c r="G4" s="283">
        <f>Inputs!C10</f>
        <v>21481669957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45603</v>
      </c>
      <c r="D5" s="282"/>
      <c r="E5" s="34"/>
      <c r="F5" s="35" t="s">
        <v>99</v>
      </c>
      <c r="G5" s="275">
        <f>G3*G4/1000000</f>
        <v>1590717.6603158498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Tier 3</v>
      </c>
      <c r="D7" s="187" t="str">
        <f>Inputs!C9</f>
        <v>C0010</v>
      </c>
      <c r="E7" s="87"/>
      <c r="F7" s="35" t="s">
        <v>5</v>
      </c>
      <c r="G7" s="133">
        <v>1.0702606836954753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0.8668930922046667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2.2325505205376484E-4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2.2215198715160572E-2</v>
      </c>
      <c r="F23" s="140" t="s">
        <v>188</v>
      </c>
      <c r="G23" s="177">
        <f>G3/(Data!C36*Data!C4/Common_Shares*Exchange_Rate)</f>
        <v>1.0740105564448337</v>
      </c>
    </row>
    <row r="24" spans="1:8" ht="15.75" customHeight="1" x14ac:dyDescent="0.4">
      <c r="B24" s="137" t="s">
        <v>170</v>
      </c>
      <c r="C24" s="171">
        <f>Fin_Analysis!I81</f>
        <v>3.6955976811858409E-3</v>
      </c>
      <c r="F24" s="140" t="s">
        <v>257</v>
      </c>
      <c r="G24" s="268">
        <f>G3/(Fin_Analysis!H86*G7)</f>
        <v>24.137977251012078</v>
      </c>
    </row>
    <row r="25" spans="1:8" ht="15.75" customHeight="1" x14ac:dyDescent="0.4">
      <c r="B25" s="137" t="s">
        <v>243</v>
      </c>
      <c r="C25" s="171">
        <f>Fin_Analysis!I82</f>
        <v>2.5630406545468234E-2</v>
      </c>
      <c r="F25" s="140" t="s">
        <v>174</v>
      </c>
      <c r="G25" s="171">
        <f>Fin_Analysis!I88</f>
        <v>1.5866671803691612</v>
      </c>
    </row>
    <row r="26" spans="1:8" ht="15.75" customHeight="1" x14ac:dyDescent="0.4">
      <c r="B26" s="138" t="s">
        <v>173</v>
      </c>
      <c r="C26" s="171">
        <f>Fin_Analysis!I83</f>
        <v>8.1342449801464822E-2</v>
      </c>
      <c r="F26" s="141" t="s">
        <v>193</v>
      </c>
      <c r="G26" s="178">
        <f>Fin_Analysis!H88*Exchange_Rate/G3</f>
        <v>6.5733228756880785E-2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46.744111788757564</v>
      </c>
      <c r="D29" s="129">
        <f>G29*(1+G20)</f>
        <v>86.37164125219887</v>
      </c>
      <c r="E29" s="87"/>
      <c r="F29" s="131">
        <f>IF(Fin_Analysis!C108="Profit",Fin_Analysis!F100,IF(Fin_Analysis!C108="Dividend",Fin_Analysis!F103,Fin_Analysis!F106))</f>
        <v>54.993072692655957</v>
      </c>
      <c r="G29" s="274">
        <f>IF(Fin_Analysis!C108="Profit",Fin_Analysis!I100,IF(Fin_Analysis!C108="Dividend",Fin_Analysis!I103,Fin_Analysis!I106))</f>
        <v>75.105775001912065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134120.66666666666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1009309</v>
      </c>
      <c r="D6" s="200">
        <f>IF(Inputs!D25="","",Inputs!D25)</f>
        <v>937259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7.687309484358118E-2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0</v>
      </c>
      <c r="D8" s="199">
        <f>IF(Inputs!D26="","",Inputs!D26)</f>
        <v>0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1009309</v>
      </c>
      <c r="D9" s="151">
        <f t="shared" si="2"/>
        <v>937259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874963</v>
      </c>
      <c r="D10" s="199">
        <f>IF(Inputs!D27="","",Inputs!D27)</f>
        <v>808160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225.33333333333334</v>
      </c>
      <c r="D12" s="199">
        <f>IF(Inputs!D30="","",MAX(Inputs!D30,0)/(1-Fin_Analysis!$I$84))</f>
        <v>180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0.13288365274327946</v>
      </c>
      <c r="D13" s="229">
        <f t="shared" si="3"/>
        <v>0.1375489592524585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134120.66666666666</v>
      </c>
      <c r="D14" s="230">
        <f t="shared" ref="D14:M14" si="4">IF(D6="","",D9-D10-MAX(D11,0)-MAX(D12,0))</f>
        <v>128919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4.0348332415444249E-2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22422</v>
      </c>
      <c r="D16" s="199">
        <f>IF(Inputs!D31="","",Inputs!D31)</f>
        <v>22811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3730</v>
      </c>
      <c r="D17" s="199">
        <f>IF(Inputs!D29="","",Inputs!D29)</f>
        <v>2330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0.20522159219822672</v>
      </c>
      <c r="D18" s="152">
        <f t="shared" si="6"/>
        <v>0.21347034277611632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207132</v>
      </c>
      <c r="D19" s="199">
        <f>IF(Inputs!D32="","",Inputs!D32)</f>
        <v>200077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0.17959118565275847</v>
      </c>
      <c r="D20" s="152">
        <f t="shared" si="7"/>
        <v>0.20227919923948451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181263</v>
      </c>
      <c r="D21" s="199">
        <f>IF(Inputs!D33="","",Inputs!D33)</f>
        <v>189588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82099.666666666657</v>
      </c>
      <c r="D22" s="161">
        <f t="shared" ref="D22:M22" si="8">IF(D6="","",D14-MAX(D16,0)-MAX(D17,0)-ABS(MAX(D21,0)-MAX(D19,0)))</f>
        <v>93289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6.1006837351098617E-2</v>
      </c>
      <c r="D23" s="153">
        <f t="shared" si="9"/>
        <v>7.4650390126955304E-2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61574.749999999993</v>
      </c>
      <c r="D24" s="77">
        <f>IF(D6="","",D22*(1-Fin_Analysis!$I$84))</f>
        <v>69966.75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-0.11994268706206887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2021607</v>
      </c>
      <c r="D27" s="65">
        <f t="shared" ref="D27:M27" si="20">IF(D36="","",D36+D31+D32)</f>
        <v>1992657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534183</v>
      </c>
      <c r="D28" s="199">
        <f>IF(Inputs!D34="","",Inputs!D34)</f>
        <v>498104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100939</v>
      </c>
      <c r="D29" s="199">
        <f>IF(Inputs!D35="","",Inputs!D35)</f>
        <v>68428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12616</v>
      </c>
      <c r="D30" s="199">
        <f>IF(Inputs!D36="","",Inputs!D36)</f>
        <v>12026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554255</v>
      </c>
      <c r="D31" s="199">
        <f>IF(Inputs!D37="","",Inputs!D37)</f>
        <v>558565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83483</v>
      </c>
      <c r="D32" s="199">
        <f>IF(Inputs!D38="","",Inputs!D38)</f>
        <v>88107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33448</v>
      </c>
      <c r="D33" s="199">
        <f>IF(Inputs!D39="","",Inputs!D39)</f>
        <v>35175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62222</v>
      </c>
      <c r="D34" s="199">
        <f>IF(Inputs!D40="","",Inputs!D40)</f>
        <v>67759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95670</v>
      </c>
      <c r="D35" s="77">
        <f t="shared" ref="D35" si="22">IF(OR(D33="",D34=""),"",D33+D34)</f>
        <v>102934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1383869</v>
      </c>
      <c r="D36" s="199">
        <f>IF(Inputs!D41="","",Inputs!D41)</f>
        <v>1345985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4325</v>
      </c>
      <c r="D37" s="199">
        <f>IF(Inputs!D42="","",Inputs!D42)</f>
        <v>4253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817499</v>
      </c>
      <c r="D38" s="199">
        <f>IF(Inputs!D43="","",Inputs!D43)</f>
        <v>795161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1204108</v>
      </c>
      <c r="D39" s="65">
        <f>IF(D38="","",D27-D38)</f>
        <v>1197496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0.11138591111982202</v>
      </c>
      <c r="D40" s="155">
        <f>IF(D6="","",D14/MAX(D39,0))</f>
        <v>0.1076571445750132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</v>
      </c>
      <c r="D42" s="156">
        <f t="shared" si="34"/>
        <v>0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0.8668930922046667</v>
      </c>
      <c r="D43" s="153">
        <f t="shared" si="35"/>
        <v>0.86225899137805029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2.2215198715160572E-2</v>
      </c>
      <c r="D44" s="153">
        <f t="shared" si="36"/>
        <v>2.4337989819249534E-2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3.6955976811858409E-3</v>
      </c>
      <c r="D45" s="153">
        <f t="shared" si="37"/>
        <v>2.4859723939700765E-3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2.2325505205376484E-4</v>
      </c>
      <c r="D46" s="153">
        <f t="shared" ref="D46:M46" si="38">IF(D6="","",MAX(D12,0)/D6)</f>
        <v>1.9204936949125055E-4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2.5630406545468234E-2</v>
      </c>
      <c r="D47" s="153">
        <f t="shared" ref="D47:M47" si="39">IF(D6="","",ABS(MAX(D21,0)-MAX(D19,0))/D6)</f>
        <v>1.1191143536631816E-2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8.1342449801464822E-2</v>
      </c>
      <c r="D48" s="153">
        <f t="shared" si="40"/>
        <v>9.9533853502607073E-2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0.10000802529255164</v>
      </c>
      <c r="D50" s="156">
        <f t="shared" si="41"/>
        <v>7.3008634753040522E-2</v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1.2499640843388893E-2</v>
      </c>
      <c r="D51" s="153">
        <f t="shared" si="42"/>
        <v>1.2831031763898772E-2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261</v>
      </c>
      <c r="C52" s="153">
        <f>IF(D6="","",C16/(C6-D6))</f>
        <v>0.31120055517002082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0.31546091797268211</v>
      </c>
      <c r="D54" s="156">
        <f t="shared" ref="D54:M54" si="44">IF(D36="","",(D27-D36)/D27)</f>
        <v>0.32452750272625946</v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0.85815476812654601</v>
      </c>
      <c r="D55" s="157">
        <f t="shared" si="45"/>
        <v>0.90629918200011661</v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4.5432583973138346E-2</v>
      </c>
      <c r="D56" s="153">
        <f t="shared" si="46"/>
        <v>2.4976149385243705E-2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0.96378562214143304</v>
      </c>
      <c r="D57" s="158">
        <f t="shared" si="47"/>
        <v>0.89175655474295745</v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1383869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1379544</v>
      </c>
      <c r="K3" s="24"/>
    </row>
    <row r="4" spans="1:11" ht="15" customHeight="1" x14ac:dyDescent="0.4">
      <c r="B4" s="3" t="s">
        <v>24</v>
      </c>
      <c r="C4" s="87"/>
      <c r="D4" s="65">
        <f>D3-I3</f>
        <v>4325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0.96378562214143304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-25682.238282582905</v>
      </c>
      <c r="E6" s="56">
        <f>1-D6/D3</f>
        <v>1.0185582871518786</v>
      </c>
      <c r="F6" s="87"/>
      <c r="G6" s="87"/>
      <c r="H6" s="1" t="s">
        <v>29</v>
      </c>
      <c r="I6" s="63">
        <f>(C24+C25)/I28</f>
        <v>0.9401087946883655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0.81220016057590816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172891</v>
      </c>
      <c r="D11" s="198">
        <f>Inputs!D48</f>
        <v>0.9</v>
      </c>
      <c r="E11" s="88">
        <f t="shared" ref="E11:E22" si="0">C11*D11</f>
        <v>155601.9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33448</v>
      </c>
      <c r="J12" s="87"/>
      <c r="K12" s="24"/>
    </row>
    <row r="13" spans="1:11" ht="13.9" x14ac:dyDescent="0.4">
      <c r="B13" s="3" t="s">
        <v>116</v>
      </c>
      <c r="C13" s="40">
        <f>Inputs!C50</f>
        <v>100939</v>
      </c>
      <c r="D13" s="198">
        <f>Inputs!D50</f>
        <v>0.6</v>
      </c>
      <c r="E13" s="88">
        <f t="shared" si="0"/>
        <v>60563.399999999994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176336</v>
      </c>
      <c r="D14" s="198">
        <f>Inputs!D51</f>
        <v>0.6</v>
      </c>
      <c r="E14" s="88">
        <f t="shared" si="0"/>
        <v>105801.59999999999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19344</v>
      </c>
      <c r="D15" s="198">
        <f>Inputs!D52</f>
        <v>0.5</v>
      </c>
      <c r="E15" s="88">
        <f t="shared" si="0"/>
        <v>9672</v>
      </c>
      <c r="F15" s="112"/>
      <c r="G15" s="87"/>
      <c r="H15" s="1" t="s">
        <v>53</v>
      </c>
      <c r="I15" s="84">
        <f>SUM(I11:I14)</f>
        <v>33448</v>
      </c>
      <c r="J15" s="87"/>
    </row>
    <row r="16" spans="1:11" ht="13.9" x14ac:dyDescent="0.4">
      <c r="B16" s="1" t="s">
        <v>158</v>
      </c>
      <c r="C16" s="40">
        <f>Inputs!C53</f>
        <v>22728</v>
      </c>
      <c r="D16" s="198">
        <f>Inputs!D53</f>
        <v>0.6</v>
      </c>
      <c r="E16" s="88">
        <f t="shared" si="0"/>
        <v>13636.8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28822</v>
      </c>
      <c r="D17" s="198">
        <f>Inputs!D54</f>
        <v>0.1</v>
      </c>
      <c r="E17" s="88">
        <f t="shared" si="0"/>
        <v>2882.2000000000003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12616</v>
      </c>
      <c r="D18" s="198">
        <f>Inputs!D55</f>
        <v>0.5</v>
      </c>
      <c r="E18" s="88">
        <f t="shared" si="0"/>
        <v>6308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507</v>
      </c>
      <c r="D21" s="198">
        <f>Inputs!D58</f>
        <v>0.9</v>
      </c>
      <c r="E21" s="88">
        <f t="shared" si="0"/>
        <v>456.3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520807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450166</v>
      </c>
      <c r="D24" s="62">
        <f>IF(E24=0,0,E24/C24)</f>
        <v>0.71521816396618132</v>
      </c>
      <c r="E24" s="88">
        <f>SUM(E11:E14)</f>
        <v>321966.89999999997</v>
      </c>
      <c r="F24" s="113">
        <f>E24/$E$28</f>
        <v>0.90714782000111571</v>
      </c>
      <c r="G24" s="87"/>
    </row>
    <row r="25" spans="2:10" ht="15" customHeight="1" x14ac:dyDescent="0.4">
      <c r="B25" s="23" t="s">
        <v>54</v>
      </c>
      <c r="C25" s="61">
        <f>SUM(C15:C17)</f>
        <v>70894</v>
      </c>
      <c r="D25" s="62">
        <f>IF(E25=0,0,E25/C25)</f>
        <v>0.36943888058227775</v>
      </c>
      <c r="E25" s="88">
        <f>SUM(E15:E17)</f>
        <v>26191</v>
      </c>
      <c r="F25" s="113">
        <f>E25/$E$28</f>
        <v>7.3793637028058551E-2</v>
      </c>
      <c r="G25" s="87"/>
      <c r="H25" s="23" t="s">
        <v>55</v>
      </c>
      <c r="I25" s="63">
        <f>E28/I28</f>
        <v>0.64035904051384285</v>
      </c>
    </row>
    <row r="26" spans="2:10" ht="15" customHeight="1" x14ac:dyDescent="0.4">
      <c r="B26" s="23" t="s">
        <v>56</v>
      </c>
      <c r="C26" s="61">
        <f>C18+C19+C20</f>
        <v>12616</v>
      </c>
      <c r="D26" s="62">
        <f>IF(E26=0,0,E26/C26)</f>
        <v>0.5</v>
      </c>
      <c r="E26" s="88">
        <f>E18+E19+E20</f>
        <v>6308</v>
      </c>
      <c r="F26" s="113">
        <f>E26/$E$28</f>
        <v>1.7772909105150371E-2</v>
      </c>
      <c r="G26" s="87"/>
      <c r="H26" s="23" t="s">
        <v>57</v>
      </c>
      <c r="I26" s="63">
        <f>E24/($I$28-I22)</f>
        <v>9.6258939248983495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507</v>
      </c>
      <c r="D27" s="62">
        <f>IF(E27=0,0,E27/C27)</f>
        <v>0.9</v>
      </c>
      <c r="E27" s="88">
        <f>E21+E22</f>
        <v>456.3</v>
      </c>
      <c r="F27" s="113">
        <f>E27/$E$28</f>
        <v>1.2856338656753511E-3</v>
      </c>
      <c r="G27" s="87"/>
      <c r="H27" s="23" t="s">
        <v>59</v>
      </c>
      <c r="I27" s="63">
        <f>(E25+E24)/$I$28</f>
        <v>0.62815473022345303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534183</v>
      </c>
      <c r="D28" s="57">
        <f>E28/C28</f>
        <v>0.66442061989992185</v>
      </c>
      <c r="E28" s="70">
        <f>SUM(E24:E27)</f>
        <v>354922.19999999995</v>
      </c>
      <c r="F28" s="112"/>
      <c r="G28" s="87"/>
      <c r="H28" s="78" t="s">
        <v>15</v>
      </c>
      <c r="I28" s="206">
        <f>Inputs!C77</f>
        <v>554255</v>
      </c>
      <c r="J28" s="32">
        <f>IF(J26="",1,0)+IF(J27="",1,0)+IF(J46="",1,0)+IF(J47="",1,0)</f>
        <v>3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75495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182795</v>
      </c>
      <c r="D31" s="198">
        <f>Inputs!D61</f>
        <v>0.6</v>
      </c>
      <c r="E31" s="88">
        <f t="shared" ref="E31:E42" si="1">C31*D31</f>
        <v>109677</v>
      </c>
      <c r="F31" s="112"/>
      <c r="G31" s="87"/>
      <c r="H31" s="3" t="s">
        <v>63</v>
      </c>
      <c r="I31" s="40">
        <f>Inputs!C79</f>
        <v>62222</v>
      </c>
      <c r="J31" s="87"/>
    </row>
    <row r="32" spans="2:10" ht="15" customHeight="1" x14ac:dyDescent="0.4">
      <c r="B32" s="3" t="s">
        <v>64</v>
      </c>
      <c r="C32" s="40">
        <f>Inputs!C62</f>
        <v>5625</v>
      </c>
      <c r="D32" s="198">
        <f>Inputs!D62</f>
        <v>0.5</v>
      </c>
      <c r="E32" s="88">
        <f t="shared" si="1"/>
        <v>2812.5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62222</v>
      </c>
      <c r="J34" s="87"/>
    </row>
    <row r="35" spans="2:10" ht="13.9" x14ac:dyDescent="0.4">
      <c r="B35" s="3" t="s">
        <v>69</v>
      </c>
      <c r="C35" s="40">
        <f>Inputs!C65</f>
        <v>185013</v>
      </c>
      <c r="D35" s="198">
        <f>Inputs!D65</f>
        <v>0.1</v>
      </c>
      <c r="E35" s="88">
        <f t="shared" si="1"/>
        <v>18501.3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94862</v>
      </c>
      <c r="D37" s="198">
        <f>Inputs!D67</f>
        <v>0.1</v>
      </c>
      <c r="E37" s="88">
        <f t="shared" si="1"/>
        <v>9486.2000000000007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781712</v>
      </c>
      <c r="D38" s="198">
        <f>Inputs!D68</f>
        <v>0.1</v>
      </c>
      <c r="E38" s="88">
        <f t="shared" si="1"/>
        <v>78171.199999999997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34291</v>
      </c>
      <c r="D40" s="198">
        <f>Inputs!D70</f>
        <v>0.05</v>
      </c>
      <c r="E40" s="88">
        <f t="shared" si="1"/>
        <v>1714.5500000000002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47891</v>
      </c>
      <c r="D41" s="198">
        <f>Inputs!D71</f>
        <v>0.9</v>
      </c>
      <c r="E41" s="88">
        <f t="shared" si="1"/>
        <v>43101.9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79740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21261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258290</v>
      </c>
      <c r="D44" s="62">
        <f>IF(E44=0,0,E44/C44)</f>
        <v>0.42462735684695496</v>
      </c>
      <c r="E44" s="88">
        <f>SUM(E30:E31)</f>
        <v>109677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190638</v>
      </c>
      <c r="D45" s="62">
        <f>IF(E45=0,0,E45/C45)</f>
        <v>0.11180247379850816</v>
      </c>
      <c r="E45" s="88">
        <f>SUM(E32:E35)</f>
        <v>21313.8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876574</v>
      </c>
      <c r="D46" s="62">
        <f>IF(E46=0,0,E46/C46)</f>
        <v>9.9999999999999992E-2</v>
      </c>
      <c r="E46" s="88">
        <f>E36+E37+E38+E39</f>
        <v>87657.4</v>
      </c>
      <c r="F46" s="87"/>
      <c r="G46" s="87"/>
      <c r="H46" s="23" t="s">
        <v>80</v>
      </c>
      <c r="I46" s="63">
        <f>(E44+E24)/E64</f>
        <v>4.5117999372844144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161922</v>
      </c>
      <c r="D47" s="62">
        <f>IF(E47=0,0,E47/C47)</f>
        <v>0.27677801657588225</v>
      </c>
      <c r="E47" s="88">
        <f>E40+E41+E42</f>
        <v>44816.450000000004</v>
      </c>
      <c r="F47" s="87"/>
      <c r="G47" s="87"/>
      <c r="H47" s="23" t="s">
        <v>82</v>
      </c>
      <c r="I47" s="63">
        <f>(E44+E45+E24+E25)/$I$49</f>
        <v>0.75132530913948981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1487424</v>
      </c>
      <c r="D48" s="82">
        <f>E48/C48</f>
        <v>0.17712814234542404</v>
      </c>
      <c r="E48" s="76">
        <f>SUM(E30:E42)</f>
        <v>263464.65000000002</v>
      </c>
      <c r="F48" s="87"/>
      <c r="G48" s="87"/>
      <c r="H48" s="80" t="s">
        <v>84</v>
      </c>
      <c r="I48" s="207">
        <f>Inputs!C82</f>
        <v>83483</v>
      </c>
      <c r="J48" s="8"/>
    </row>
    <row r="49" spans="2:11" ht="15" customHeight="1" thickTop="1" x14ac:dyDescent="0.4">
      <c r="B49" s="3" t="s">
        <v>13</v>
      </c>
      <c r="C49" s="61">
        <f>C28+C48</f>
        <v>2021607</v>
      </c>
      <c r="D49" s="56">
        <f>E49/C49</f>
        <v>0.30588875582642916</v>
      </c>
      <c r="E49" s="88">
        <f>E28+E48</f>
        <v>618386.85</v>
      </c>
      <c r="F49" s="87"/>
      <c r="G49" s="87"/>
      <c r="H49" s="3" t="s">
        <v>85</v>
      </c>
      <c r="I49" s="52">
        <f>I28+I48</f>
        <v>637738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4325</v>
      </c>
      <c r="D53" s="29">
        <f>IF(E53=0, 0,E53/C53)</f>
        <v>1.0740105564448337</v>
      </c>
      <c r="E53" s="88">
        <f>IF(C53=0,0,MAX(C53,C53*Dashboard!G23))</f>
        <v>4645.0956566239056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95670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569113</v>
      </c>
      <c r="D61" s="56">
        <f t="shared" ref="D61:D70" si="2">IF(E61=0,0,E61/C61)</f>
        <v>0.43306759817470336</v>
      </c>
      <c r="E61" s="52">
        <f>E14+E15+(E19*G19)+(E20*G20)+E31+E32+(E35*G35)+(E36*G36)+(E37*G37)</f>
        <v>246464.39999999997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248386</v>
      </c>
      <c r="D62" s="107">
        <f t="shared" si="2"/>
        <v>0.62645197394378105</v>
      </c>
      <c r="E62" s="118">
        <f>E11+E30</f>
        <v>155601.9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817499</v>
      </c>
      <c r="D63" s="29">
        <f t="shared" si="2"/>
        <v>0.49182482180406328</v>
      </c>
      <c r="E63" s="61">
        <f>E61+E62</f>
        <v>402066.29999999993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95670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721829</v>
      </c>
      <c r="D65" s="29">
        <f t="shared" si="2"/>
        <v>0.42447213952334961</v>
      </c>
      <c r="E65" s="61">
        <f>E63-E64</f>
        <v>306396.29999999993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1204108</v>
      </c>
      <c r="D68" s="29">
        <f t="shared" si="2"/>
        <v>0.17965211592315644</v>
      </c>
      <c r="E68" s="68">
        <f>E49-E63</f>
        <v>216320.55000000005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542068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662040</v>
      </c>
      <c r="D70" s="29">
        <f t="shared" si="2"/>
        <v>-0.49203590417497423</v>
      </c>
      <c r="E70" s="68">
        <f>E68-E69</f>
        <v>-325747.44999999995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1009309</v>
      </c>
      <c r="D74" s="209"/>
      <c r="E74" s="238">
        <f>Inputs!E91</f>
        <v>1009309</v>
      </c>
      <c r="F74" s="209"/>
      <c r="H74" s="238">
        <f>Inputs!F91</f>
        <v>1009309</v>
      </c>
      <c r="I74" s="209"/>
      <c r="K74" s="24"/>
    </row>
    <row r="75" spans="1:11" ht="15" customHeight="1" x14ac:dyDescent="0.4">
      <c r="B75" s="104" t="s">
        <v>105</v>
      </c>
      <c r="C75" s="77">
        <f>Data!C8</f>
        <v>0</v>
      </c>
      <c r="D75" s="159">
        <f>C75/$C$74</f>
        <v>0</v>
      </c>
      <c r="E75" s="238">
        <f>Inputs!E92</f>
        <v>0</v>
      </c>
      <c r="F75" s="160">
        <f>E75/E74</f>
        <v>0</v>
      </c>
      <c r="H75" s="238">
        <f>Inputs!F92</f>
        <v>0</v>
      </c>
      <c r="I75" s="160">
        <f>H75/$H$74</f>
        <v>0</v>
      </c>
      <c r="K75" s="24"/>
    </row>
    <row r="76" spans="1:11" ht="15" customHeight="1" x14ac:dyDescent="0.4">
      <c r="B76" s="35" t="s">
        <v>95</v>
      </c>
      <c r="C76" s="161">
        <f>C74-C75</f>
        <v>1009309</v>
      </c>
      <c r="D76" s="210"/>
      <c r="E76" s="162">
        <f>E74-E75</f>
        <v>1009309</v>
      </c>
      <c r="F76" s="210"/>
      <c r="H76" s="162">
        <f>H74-H75</f>
        <v>1009309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874963</v>
      </c>
      <c r="D77" s="159">
        <f>C77/$C$74</f>
        <v>0.8668930922046667</v>
      </c>
      <c r="E77" s="238">
        <f>Inputs!E93</f>
        <v>874963</v>
      </c>
      <c r="F77" s="160">
        <f>E77/E74</f>
        <v>0.8668930922046667</v>
      </c>
      <c r="H77" s="238">
        <f>Inputs!F93</f>
        <v>874963</v>
      </c>
      <c r="I77" s="160">
        <f>H77/$H$74</f>
        <v>0.8668930922046667</v>
      </c>
      <c r="K77" s="24"/>
    </row>
    <row r="78" spans="1:11" ht="15" customHeight="1" x14ac:dyDescent="0.4">
      <c r="B78" s="73" t="s">
        <v>172</v>
      </c>
      <c r="C78" s="77">
        <f>MAX(Data!C12,0)</f>
        <v>225.33333333333334</v>
      </c>
      <c r="D78" s="159">
        <f>C78/$C$74</f>
        <v>2.2325505205376484E-4</v>
      </c>
      <c r="E78" s="180">
        <f>E74*F78</f>
        <v>225.33333333333334</v>
      </c>
      <c r="F78" s="160">
        <f>I78</f>
        <v>2.2325505205376484E-4</v>
      </c>
      <c r="H78" s="238">
        <f>Inputs!F97</f>
        <v>225.33333333333334</v>
      </c>
      <c r="I78" s="160">
        <f>H78/$H$74</f>
        <v>2.2325505205376484E-4</v>
      </c>
      <c r="K78" s="24"/>
    </row>
    <row r="79" spans="1:11" ht="15" customHeight="1" x14ac:dyDescent="0.4">
      <c r="B79" s="256" t="s">
        <v>232</v>
      </c>
      <c r="C79" s="257">
        <f>C76-C77-C78</f>
        <v>134120.66666666666</v>
      </c>
      <c r="D79" s="258">
        <f>C79/C74</f>
        <v>0.13288365274327946</v>
      </c>
      <c r="E79" s="259">
        <f>E76-E77-E78</f>
        <v>134120.66666666666</v>
      </c>
      <c r="F79" s="258">
        <f>E79/E74</f>
        <v>0.13288365274327946</v>
      </c>
      <c r="G79" s="260"/>
      <c r="H79" s="259">
        <f>H76-H77-H78</f>
        <v>134120.66666666666</v>
      </c>
      <c r="I79" s="258">
        <f>H79/H74</f>
        <v>0.13288365274327946</v>
      </c>
      <c r="K79" s="24"/>
    </row>
    <row r="80" spans="1:11" ht="15" customHeight="1" x14ac:dyDescent="0.4">
      <c r="B80" s="28" t="s">
        <v>109</v>
      </c>
      <c r="C80" s="77">
        <f>MAX(Data!C16,0)</f>
        <v>22422</v>
      </c>
      <c r="D80" s="159">
        <f>C80/$C$74</f>
        <v>2.2215198715160572E-2</v>
      </c>
      <c r="E80" s="180">
        <f>E74*F80</f>
        <v>22422</v>
      </c>
      <c r="F80" s="160">
        <f>I80</f>
        <v>2.2215198715160572E-2</v>
      </c>
      <c r="H80" s="238">
        <f>Inputs!F96</f>
        <v>22422</v>
      </c>
      <c r="I80" s="160">
        <f>H80/$H$74</f>
        <v>2.2215198715160572E-2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3730</v>
      </c>
      <c r="D81" s="159">
        <f>C81/$C$74</f>
        <v>3.6955976811858409E-3</v>
      </c>
      <c r="E81" s="180">
        <f>E74*F81</f>
        <v>3730</v>
      </c>
      <c r="F81" s="160">
        <f>I81</f>
        <v>3.6955976811858409E-3</v>
      </c>
      <c r="H81" s="238">
        <f>Inputs!F94</f>
        <v>3730</v>
      </c>
      <c r="I81" s="160">
        <f>H81/$H$74</f>
        <v>3.6955976811858409E-3</v>
      </c>
      <c r="K81" s="24"/>
    </row>
    <row r="82" spans="1:11" ht="15" customHeight="1" x14ac:dyDescent="0.4">
      <c r="B82" s="28" t="s">
        <v>245</v>
      </c>
      <c r="C82" s="77">
        <f>ABS(MAX(Data!C21,0)-MAX(Data!C19,0))</f>
        <v>25869</v>
      </c>
      <c r="D82" s="159">
        <f>C82/$C$74</f>
        <v>2.5630406545468234E-2</v>
      </c>
      <c r="E82" s="238">
        <f>Inputs!E95</f>
        <v>25869</v>
      </c>
      <c r="F82" s="160">
        <f>E82/E74</f>
        <v>2.5630406545468234E-2</v>
      </c>
      <c r="H82" s="238">
        <f>Inputs!F95</f>
        <v>25869</v>
      </c>
      <c r="I82" s="160">
        <f>H82/$H$74</f>
        <v>2.5630406545468234E-2</v>
      </c>
      <c r="K82" s="24"/>
    </row>
    <row r="83" spans="1:11" ht="15" customHeight="1" thickBot="1" x14ac:dyDescent="0.45">
      <c r="B83" s="105" t="s">
        <v>125</v>
      </c>
      <c r="C83" s="163">
        <f>C79-C81-C82-C80</f>
        <v>82099.666666666657</v>
      </c>
      <c r="D83" s="164">
        <f>C83/$C$74</f>
        <v>8.1342449801464822E-2</v>
      </c>
      <c r="E83" s="165">
        <f>E79-E81-E82-E80</f>
        <v>82099.666666666657</v>
      </c>
      <c r="F83" s="164">
        <f>E83/E74</f>
        <v>8.1342449801464822E-2</v>
      </c>
      <c r="H83" s="165">
        <f>H79-H81-H82-H80</f>
        <v>82099.666666666657</v>
      </c>
      <c r="I83" s="164">
        <f>H83/$H$74</f>
        <v>8.1342449801464822E-2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61574.749999999993</v>
      </c>
      <c r="D85" s="258">
        <f>C85/$C$74</f>
        <v>6.1006837351098617E-2</v>
      </c>
      <c r="E85" s="264">
        <f>E83*(1-F84)</f>
        <v>61574.749999999993</v>
      </c>
      <c r="F85" s="258">
        <f>E85/E74</f>
        <v>6.1006837351098617E-2</v>
      </c>
      <c r="G85" s="260"/>
      <c r="H85" s="264">
        <f>H83*(1-I84)</f>
        <v>61574.749999999993</v>
      </c>
      <c r="I85" s="258">
        <f>H85/$H$74</f>
        <v>6.1006837351098617E-2</v>
      </c>
      <c r="K85" s="24"/>
    </row>
    <row r="86" spans="1:11" ht="15" customHeight="1" x14ac:dyDescent="0.4">
      <c r="B86" s="87" t="s">
        <v>160</v>
      </c>
      <c r="C86" s="167">
        <f>C85*Data!C4/Common_Shares</f>
        <v>2.8663856265948864</v>
      </c>
      <c r="D86" s="209"/>
      <c r="E86" s="168">
        <f>E85*Data!C4/Common_Shares</f>
        <v>2.8663856265948864</v>
      </c>
      <c r="F86" s="209"/>
      <c r="H86" s="168">
        <f>H85*Data!C4/Common_Shares</f>
        <v>2.8663856265948864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4.1428492106067881E-2</v>
      </c>
      <c r="D87" s="209"/>
      <c r="E87" s="262">
        <f>E86*Exchange_Rate/Dashboard!G3</f>
        <v>4.1428492106067881E-2</v>
      </c>
      <c r="F87" s="209"/>
      <c r="H87" s="262">
        <f>H86*Exchange_Rate/Dashboard!G3</f>
        <v>4.1428492106067881E-2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4.548</v>
      </c>
      <c r="D88" s="166">
        <f>C88/C86</f>
        <v>1.5866671803691612</v>
      </c>
      <c r="E88" s="170">
        <f>Inputs!E98</f>
        <v>4.548</v>
      </c>
      <c r="F88" s="166">
        <f>E88/E86</f>
        <v>1.5866671803691612</v>
      </c>
      <c r="H88" s="170">
        <f>Inputs!F98</f>
        <v>4.548</v>
      </c>
      <c r="I88" s="166">
        <f>H88/H86</f>
        <v>1.5866671803691612</v>
      </c>
      <c r="K88" s="24"/>
    </row>
    <row r="89" spans="1:11" ht="15" customHeight="1" x14ac:dyDescent="0.4">
      <c r="B89" s="87" t="s">
        <v>221</v>
      </c>
      <c r="C89" s="261">
        <f>C88*Exchange_Rate/Dashboard!G3</f>
        <v>6.5733228756880785E-2</v>
      </c>
      <c r="D89" s="209"/>
      <c r="E89" s="261">
        <f>E88*Exchange_Rate/Dashboard!G3</f>
        <v>6.5733228756880785E-2</v>
      </c>
      <c r="F89" s="209"/>
      <c r="H89" s="261">
        <f>H88*Exchange_Rate/Dashboard!G3</f>
        <v>6.5733228756880785E-2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62.117803514766941</v>
      </c>
      <c r="H93" s="87" t="s">
        <v>209</v>
      </c>
      <c r="I93" s="144">
        <f>FV(H87,D93,0,-(H86/(C93-D94)))*Exchange_Rate</f>
        <v>62.117803514766941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110.61071202308351</v>
      </c>
      <c r="H94" s="87" t="s">
        <v>210</v>
      </c>
      <c r="I94" s="144">
        <f>FV(H89,D93,0,-(H88/(C93-D94)))*Exchange_Rate</f>
        <v>110.61071202308351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663429.72886709031</v>
      </c>
      <c r="D97" s="213"/>
      <c r="E97" s="123">
        <f>PV(C94,D93,0,-F93)</f>
        <v>30.883526755372465</v>
      </c>
      <c r="F97" s="213"/>
      <c r="H97" s="123">
        <f>PV(C94,D93,0,-I93)</f>
        <v>30.883526755372465</v>
      </c>
      <c r="I97" s="123">
        <f>PV(C93,D93,0,-I93)</f>
        <v>42.178607198726269</v>
      </c>
      <c r="K97" s="24"/>
    </row>
    <row r="98" spans="2:11" ht="15" customHeight="1" x14ac:dyDescent="0.4">
      <c r="B98" s="28" t="s">
        <v>144</v>
      </c>
      <c r="C98" s="91">
        <f>-E53*Exchange_Rate</f>
        <v>-4971.4632532891837</v>
      </c>
      <c r="D98" s="213"/>
      <c r="E98" s="213"/>
      <c r="F98" s="213"/>
      <c r="H98" s="123">
        <f>C98*Data!$C$4/Common_Shares</f>
        <v>-0.23142815541066381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658458.26561380108</v>
      </c>
      <c r="D100" s="109">
        <f>MIN(F100*(1-C94),E100)</f>
        <v>26.054283809967526</v>
      </c>
      <c r="E100" s="109">
        <f>MAX(E97+H98+E99,0)</f>
        <v>30.6520985999618</v>
      </c>
      <c r="F100" s="109">
        <f>(E100+H100)/2</f>
        <v>30.652098599961796</v>
      </c>
      <c r="H100" s="109">
        <f>MAX(C100*Data!$C$4/Common_Shares,0)</f>
        <v>30.652098599961793</v>
      </c>
      <c r="I100" s="109">
        <f>MAX(I97+H98+H99,0)</f>
        <v>41.947179043315607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1181343.0375049445</v>
      </c>
      <c r="D103" s="109">
        <f>MIN(F103*(1-C94),E103)</f>
        <v>46.744111788757564</v>
      </c>
      <c r="E103" s="123">
        <f>PV(C94,D93,0,-F94)</f>
        <v>54.993072692655957</v>
      </c>
      <c r="F103" s="109">
        <f>(E103+H103)/2</f>
        <v>54.993072692655957</v>
      </c>
      <c r="H103" s="123">
        <f>PV(C94,D93,0,-I94)</f>
        <v>54.993072692655957</v>
      </c>
      <c r="I103" s="109">
        <f>PV(C93,D93,0,-I94)</f>
        <v>75.105775001912065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919900.6515593729</v>
      </c>
      <c r="D106" s="109">
        <f>(D100+D103)/2</f>
        <v>36.399197799362547</v>
      </c>
      <c r="E106" s="123">
        <f>(E100+E103)/2</f>
        <v>42.82258564630888</v>
      </c>
      <c r="F106" s="109">
        <f>(F100+F103)/2</f>
        <v>42.82258564630888</v>
      </c>
      <c r="H106" s="123">
        <f>(H100+H103)/2</f>
        <v>42.822585646308873</v>
      </c>
      <c r="I106" s="123">
        <f>(I100+I103)/2</f>
        <v>58.526477022613832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2024-12-13T02:51:36Z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