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776FCA0-8344-4DA2-B88F-E39C42BB51F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3" i="4"/>
  <c r="E93" i="4"/>
  <c r="E92" i="4"/>
  <c r="F91" i="4"/>
  <c r="F92" i="4" s="1"/>
  <c r="E91" i="4"/>
  <c r="D71" i="4"/>
  <c r="D69" i="4"/>
  <c r="D68" i="4"/>
  <c r="D67" i="4"/>
  <c r="D62" i="4"/>
  <c r="D63" i="4" s="1"/>
  <c r="D61" i="4"/>
  <c r="D60" i="4"/>
  <c r="D59" i="4"/>
  <c r="D58" i="4"/>
  <c r="D56" i="4"/>
  <c r="D55" i="4"/>
  <c r="D50" i="4"/>
  <c r="D53" i="4" s="1"/>
  <c r="C44" i="4"/>
  <c r="M52" i="2"/>
  <c r="F94" i="4" l="1"/>
  <c r="F95" i="4"/>
  <c r="F96" i="4"/>
  <c r="F9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F106" i="3" s="1"/>
  <c r="F29" i="1" s="1"/>
  <c r="D100" i="3" l="1"/>
  <c r="D106" i="3" s="1"/>
  <c r="C29" i="1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<sst xmlns="http://schemas.openxmlformats.org/spreadsheetml/2006/main" count="391" uniqueCount="272">
  <si>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</si>
  <si>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</si>
  <si>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</si>
  <si>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</si>
  <si>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</si>
  <si>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</si>
  <si>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</si>
  <si>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</si>
  <si>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</si>
  <si>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</si>
  <si>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</si>
  <si>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</si>
  <si>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</si>
  <si>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</si>
  <si>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</si>
  <si>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</si>
  <si>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</si>
  <si>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</si>
  <si>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</si>
  <si>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</si>
  <si>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</si>
  <si>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</si>
  <si>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</si>
  <si>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</si>
  <si>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</si>
  <si>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</si>
  <si>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</si>
  <si>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</si>
  <si>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</si>
  <si>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</si>
  <si>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</si>
  <si>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</si>
  <si>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</si>
  <si>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</si>
  <si>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</si>
  <si>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</si>
  <si>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</si>
  <si>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</si>
  <si>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</si>
  <si>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</si>
  <si>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</si>
  <si>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</si>
  <si>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</si>
  <si>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</si>
  <si>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</si>
  <si>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</si>
  <si>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</si>
  <si>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</si>
  <si>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</si>
  <si>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</si>
  <si>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</si>
  <si>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</si>
  <si>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</si>
  <si>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</si>
  <si>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</si>
  <si>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</si>
  <si>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</si>
  <si>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</si>
  <si>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</si>
  <si>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</si>
  <si>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</si>
  <si>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</si>
  <si>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</si>
  <si>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</si>
  <si>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</si>
  <si>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</si>
  <si>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</si>
  <si>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</si>
  <si>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</si>
  <si>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</si>
  <si>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</si>
  <si>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</si>
  <si>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</si>
  <si>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</si>
  <si>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</si>
  <si>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</si>
  <si>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</si>
  <si>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</si>
  <si>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</si>
  <si>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</si>
  <si>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</si>
  <si>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</si>
  <si>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</si>
  <si>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</si>
  <si>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</si>
  <si>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</si>
  <si>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</si>
  <si>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</si>
  <si>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</si>
  <si>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</si>
  <si>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</si>
  <si>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</si>
  <si>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</si>
  <si>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</si>
  <si>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</si>
  <si>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</si>
  <si>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</si>
  <si>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</si>
  <si>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</si>
  <si>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</si>
  <si>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</si>
  <si>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</si>
  <si>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</si>
  <si>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</si>
  <si>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</si>
  <si>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</si>
  <si>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</si>
  <si>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</si>
  <si>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</si>
  <si>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</si>
  <si>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</si>
  <si>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</si>
  <si>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</si>
  <si>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</si>
  <si>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</si>
  <si>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</si>
  <si>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</si>
  <si>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</si>
  <si>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</si>
  <si>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</si>
  <si>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</si>
  <si>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</si>
  <si>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</si>
  <si>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</si>
  <si>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</si>
  <si>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</si>
  <si>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</si>
  <si>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</si>
  <si>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</si>
  <si>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</si>
  <si>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</si>
  <si>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</si>
  <si>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</si>
  <si>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</si>
  <si>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</si>
  <si>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</si>
  <si>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</si>
  <si>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</si>
  <si>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</si>
  <si>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</si>
  <si>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</si>
  <si>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</si>
  <si>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</si>
  <si>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</si>
  <si>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</si>
  <si>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</si>
  <si>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</si>
  <si>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</si>
  <si>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</si>
  <si>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</si>
  <si>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</si>
  <si>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</si>
  <si>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</si>
  <si>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</si>
  <si>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</si>
  <si>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</si>
  <si>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</si>
  <si>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</si>
  <si>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</si>
  <si>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</si>
  <si>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</si>
  <si>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</si>
  <si>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</si>
  <si>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</si>
  <si>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</si>
  <si>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</si>
  <si>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</si>
  <si>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</si>
  <si>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</si>
  <si>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</si>
  <si>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</si>
  <si>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</si>
  <si>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</si>
  <si>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</si>
  <si>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</si>
  <si>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</si>
  <si>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</si>
  <si>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</si>
  <si>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</si>
  <si>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</si>
  <si>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</si>
  <si>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</si>
  <si>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</si>
  <si>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</si>
  <si>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</si>
  <si>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</si>
  <si>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</si>
  <si>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</si>
  <si>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</si>
  <si>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</si>
  <si>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</si>
  <si>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</si>
  <si>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</si>
  <si>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</si>
  <si>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</si>
  <si>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</si>
  <si>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</si>
  <si>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</si>
  <si>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</si>
  <si>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</si>
  <si>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</si>
  <si>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</si>
  <si>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</si>
  <si>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</si>
  <si>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</si>
  <si>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</si>
  <si>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</si>
  <si>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</si>
  <si>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</si>
  <si>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</si>
  <si>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</si>
  <si>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</si>
  <si>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</si>
  <si>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</si>
  <si>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</si>
  <si>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</si>
  <si>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</si>
  <si>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</si>
  <si>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</si>
  <si>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</si>
  <si>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</si>
  <si>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</si>
  <si>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</si>
  <si>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</si>
  <si>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</si>
  <si>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</si>
  <si>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</si>
  <si>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</si>
  <si>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</si>
  <si>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</si>
  <si>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</si>
  <si>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</si>
  <si>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</si>
  <si>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</si>
  <si>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</si>
  <si>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</si>
  <si>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</si>
  <si>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</si>
  <si>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</si>
  <si>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</si>
  <si>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</si>
  <si>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</si>
  <si>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</si>
  <si>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</si>
  <si>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</si>
  <si>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</si>
  <si>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</si>
  <si>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</si>
  <si>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</si>
  <si>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</si>
  <si>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</si>
  <si>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</si>
  <si>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</si>
  <si>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</si>
  <si>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</si>
  <si>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</si>
  <si>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</si>
  <si>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</si>
  <si>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</si>
  <si>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</si>
  <si>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</si>
  <si>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</si>
  <si>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0998.HK</t>
  </si>
  <si>
    <t>中信银行</t>
  </si>
  <si>
    <t xml:space="preserve">Superior Cycl. </t>
  </si>
  <si>
    <t>C0014</t>
  </si>
  <si>
    <t>CNY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</si>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</sst>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0.18760554961924605</c:v>
                </c:pt>
                <c:pt idx="1">
                  <c:v>0.19513886735214594</c:v>
                </c:pt>
                <c:pt idx="2">
                  <c:v>3.9320610522022457E-3</c:v>
                </c:pt>
                <c:pt idx="3">
                  <c:v>0</c:v>
                </c:pt>
                <c:pt idx="4">
                  <c:v>0.49099920776112166</c:v>
                </c:pt>
                <c:pt idx="5">
                  <c:v>0</c:v>
                </c:pt>
                <c:pt idx="6">
                  <c:v>0.12232431421528413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53487810534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268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354691</v>
      </c>
      <c r="D25" s="149">
        <v>354660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66542</v>
      </c>
      <c r="D26" s="150">
        <v>75318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69214</v>
      </c>
      <c r="D27" s="150">
        <v>66838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174153</v>
      </c>
      <c r="D29" s="150">
        <v>162962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1046</v>
      </c>
      <c r="D30" s="150">
        <v>847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0.3261+0.1847</f>
        <v>0.51080000000000003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0.11066582130195318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354691</v>
      </c>
      <c r="D91" s="209"/>
      <c r="E91" s="251">
        <f>C91</f>
        <v>354691</v>
      </c>
      <c r="F91" s="251">
        <f>C91</f>
        <v>354691</v>
      </c>
    </row>
    <row r="92" spans="2:8" ht="13.9" x14ac:dyDescent="0.4">
      <c r="B92" s="104" t="s">
        <v>105</v>
      </c>
      <c r="C92" s="77">
        <f>C26</f>
        <v>66542</v>
      </c>
      <c r="D92" s="159">
        <f>C92/C91</f>
        <v>0.18760554961924605</v>
      </c>
      <c r="E92" s="252">
        <f>E91*D92</f>
        <v>66542</v>
      </c>
      <c r="F92" s="252">
        <f>F91*D92</f>
        <v>66542</v>
      </c>
    </row>
    <row r="93" spans="2:8" ht="13.9" x14ac:dyDescent="0.4">
      <c r="B93" s="104" t="s">
        <v>246</v>
      </c>
      <c r="C93" s="77">
        <f>C27+C28</f>
        <v>69214</v>
      </c>
      <c r="D93" s="159">
        <f>C93/C91</f>
        <v>0.19513886735214594</v>
      </c>
      <c r="E93" s="252">
        <f>E91*D93</f>
        <v>69214</v>
      </c>
      <c r="F93" s="252">
        <f>F91*D93</f>
        <v>69214</v>
      </c>
    </row>
    <row r="94" spans="2:8" ht="13.9" x14ac:dyDescent="0.4">
      <c r="B94" s="104" t="s">
        <v>255</v>
      </c>
      <c r="C94" s="77">
        <f>C29</f>
        <v>174153</v>
      </c>
      <c r="D94" s="159">
        <f>C94/C91</f>
        <v>0.49099920776112166</v>
      </c>
      <c r="E94" s="253"/>
      <c r="F94" s="252">
        <f>F91*D94</f>
        <v>174153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1394.6666666666667</v>
      </c>
      <c r="D97" s="159">
        <f>C97/C91</f>
        <v>3.9320610522022457E-3</v>
      </c>
      <c r="E97" s="253"/>
      <c r="F97" s="252">
        <f>F91*D97</f>
        <v>1394.6666666666667</v>
      </c>
    </row>
    <row r="98" spans="2:7" ht="13.9" x14ac:dyDescent="0.4">
      <c r="B98" s="86" t="s">
        <v>207</v>
      </c>
      <c r="C98" s="237">
        <f>C44</f>
        <v>0.51080000000000003</v>
      </c>
      <c r="D98" s="266"/>
      <c r="E98" s="254">
        <f>F98</f>
        <v>0.3261</v>
      </c>
      <c r="F98" s="254">
        <v>0.3261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0998.HK</v>
      </c>
      <c r="D3" s="278"/>
      <c r="E3" s="87"/>
      <c r="F3" s="3" t="s">
        <v>1</v>
      </c>
      <c r="G3" s="132">
        <v>4.9400000000000004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中信银行</v>
      </c>
      <c r="D4" s="280"/>
      <c r="E4" s="87"/>
      <c r="F4" s="3" t="s">
        <v>2</v>
      </c>
      <c r="G4" s="283">
        <f>Inputs!C10</f>
        <v>53487810534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264229.78403795999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0.18760554961924605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0.19513886735214594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3.9320610522022457E-3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0.49099920776112166</v>
      </c>
      <c r="F24" s="140" t="s">
        <v>257</v>
      </c>
      <c r="G24" s="268">
        <f>G3/(Fin_Analysis!H86*G7)</f>
        <v>7.5869631765910741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0.53602049799902873</v>
      </c>
    </row>
    <row r="26" spans="1:8" ht="15.75" customHeight="1" x14ac:dyDescent="0.4">
      <c r="B26" s="138" t="s">
        <v>173</v>
      </c>
      <c r="C26" s="171">
        <f>Fin_Analysis!I83</f>
        <v>0.12232431421528413</v>
      </c>
      <c r="F26" s="141" t="s">
        <v>193</v>
      </c>
      <c r="G26" s="178">
        <f>Fin_Analysis!H88*Exchange_Rate/G3</f>
        <v>7.0650204241517106E-2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3.4296732079141381</v>
      </c>
      <c r="D29" s="129">
        <f>G29*(1+G20)</f>
        <v>6.3371939820981575</v>
      </c>
      <c r="E29" s="87"/>
      <c r="F29" s="131">
        <f>IF(Fin_Analysis!C108="Profit",Fin_Analysis!F100,IF(Fin_Analysis!C108="Dividend",Fin_Analysis!F103,Fin_Analysis!F106))</f>
        <v>4.0349096563695745</v>
      </c>
      <c r="G29" s="274">
        <f>IF(Fin_Analysis!C108="Profit",Fin_Analysis!I100,IF(Fin_Analysis!C108="Dividend",Fin_Analysis!I103,Fin_Analysis!I106))</f>
        <v>5.5106034626940508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217540.33333333334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354691</v>
      </c>
      <c r="D6" s="200">
        <f>IF(Inputs!D25="","",Inputs!D25)</f>
        <v>354660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66542</v>
      </c>
      <c r="D8" s="199">
        <f>IF(Inputs!D26="","",Inputs!D26)</f>
        <v>75318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288149</v>
      </c>
      <c r="D9" s="151">
        <f t="shared" si="2"/>
        <v>279342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69214</v>
      </c>
      <c r="D10" s="199">
        <f>IF(Inputs!D27="","",Inputs!D27)</f>
        <v>66838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1394.6666666666667</v>
      </c>
      <c r="D12" s="199">
        <f>IF(Inputs!D30="","",MAX(Inputs!D30,0)/(1-Fin_Analysis!$I$84))</f>
        <v>1129.3333333333333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0.61332352197640583</v>
      </c>
      <c r="D13" s="229">
        <f t="shared" si="3"/>
        <v>0.59599240587229085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217540.33333333334</v>
      </c>
      <c r="D14" s="230">
        <f t="shared" ref="D14:M14" si="4">IF(D6="","",D9-D10-MAX(D11,0)-MAX(D12,0))</f>
        <v>211374.66666666666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2.9169373813323671E-2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174153</v>
      </c>
      <c r="D17" s="199">
        <f>IF(Inputs!D29="","",Inputs!D29)</f>
        <v>162962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43387.333333333343</v>
      </c>
      <c r="D22" s="161">
        <f t="shared" ref="D22:M22" si="8">IF(D6="","",D14-MAX(D16,0)-MAX(D17,0)-ABS(MAX(D21,0)-MAX(D19,0)))</f>
        <v>48412.666666666657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9.1743235661463099E-2</v>
      </c>
      <c r="D23" s="153">
        <f t="shared" si="9"/>
        <v>0.10237833417921388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32540.500000000007</v>
      </c>
      <c r="D24" s="77">
        <f>IF(D6="","",D22*(1-Fin_Analysis!$I$84))</f>
        <v>36309.499999999993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-0.10380203528002276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0.18760554961924605</v>
      </c>
      <c r="D42" s="156">
        <f t="shared" si="34"/>
        <v>0.21236677381153782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0.19513886735214594</v>
      </c>
      <c r="D43" s="153">
        <f t="shared" si="35"/>
        <v>0.18845654993514915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0.49099920776112166</v>
      </c>
      <c r="D45" s="153">
        <f t="shared" si="37"/>
        <v>0.45948796030000566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3.9320610522022457E-3</v>
      </c>
      <c r="D46" s="153">
        <f t="shared" ref="D46:M46" si="38">IF(D6="","",MAX(D12,0)/D6)</f>
        <v>3.1842703810221994E-3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0.12232431421528413</v>
      </c>
      <c r="D48" s="153">
        <f t="shared" si="40"/>
        <v>0.13650444557228517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4.0139134309552702</v>
      </c>
      <c r="D56" s="153">
        <f t="shared" si="46"/>
        <v>3.3661025351492042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354691</v>
      </c>
      <c r="D74" s="209"/>
      <c r="E74" s="238">
        <f>Inputs!E91</f>
        <v>354691</v>
      </c>
      <c r="F74" s="209"/>
      <c r="H74" s="238">
        <f>Inputs!F91</f>
        <v>354691</v>
      </c>
      <c r="I74" s="209"/>
      <c r="K74" s="24"/>
    </row>
    <row r="75" spans="1:11" ht="15" customHeight="1" x14ac:dyDescent="0.4">
      <c r="B75" s="104" t="s">
        <v>105</v>
      </c>
      <c r="C75" s="77">
        <f>Data!C8</f>
        <v>66542</v>
      </c>
      <c r="D75" s="159">
        <f>C75/$C$74</f>
        <v>0.18760554961924605</v>
      </c>
      <c r="E75" s="238">
        <f>Inputs!E92</f>
        <v>66542</v>
      </c>
      <c r="F75" s="160">
        <f>E75/E74</f>
        <v>0.18760554961924605</v>
      </c>
      <c r="H75" s="238">
        <f>Inputs!F92</f>
        <v>66542</v>
      </c>
      <c r="I75" s="160">
        <f>H75/$H$74</f>
        <v>0.18760554961924605</v>
      </c>
      <c r="K75" s="24"/>
    </row>
    <row r="76" spans="1:11" ht="15" customHeight="1" x14ac:dyDescent="0.4">
      <c r="B76" s="35" t="s">
        <v>95</v>
      </c>
      <c r="C76" s="161">
        <f>C74-C75</f>
        <v>288149</v>
      </c>
      <c r="D76" s="210"/>
      <c r="E76" s="162">
        <f>E74-E75</f>
        <v>288149</v>
      </c>
      <c r="F76" s="210"/>
      <c r="H76" s="162">
        <f>H74-H75</f>
        <v>288149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69214</v>
      </c>
      <c r="D77" s="159">
        <f>C77/$C$74</f>
        <v>0.19513886735214594</v>
      </c>
      <c r="E77" s="238">
        <f>Inputs!E93</f>
        <v>69214</v>
      </c>
      <c r="F77" s="160">
        <f>E77/E74</f>
        <v>0.19513886735214594</v>
      </c>
      <c r="H77" s="238">
        <f>Inputs!F93</f>
        <v>69214</v>
      </c>
      <c r="I77" s="160">
        <f>H77/$H$74</f>
        <v>0.19513886735214594</v>
      </c>
      <c r="K77" s="24"/>
    </row>
    <row r="78" spans="1:11" ht="15" customHeight="1" x14ac:dyDescent="0.4">
      <c r="B78" s="73" t="s">
        <v>172</v>
      </c>
      <c r="C78" s="77">
        <f>MAX(Data!C12,0)</f>
        <v>1394.6666666666667</v>
      </c>
      <c r="D78" s="159">
        <f>C78/$C$74</f>
        <v>3.9320610522022457E-3</v>
      </c>
      <c r="E78" s="180">
        <f>E74*F78</f>
        <v>1394.6666666666667</v>
      </c>
      <c r="F78" s="160">
        <f>I78</f>
        <v>3.9320610522022457E-3</v>
      </c>
      <c r="H78" s="238">
        <f>Inputs!F97</f>
        <v>1394.6666666666667</v>
      </c>
      <c r="I78" s="160">
        <f>H78/$H$74</f>
        <v>3.9320610522022457E-3</v>
      </c>
      <c r="K78" s="24"/>
    </row>
    <row r="79" spans="1:11" ht="15" customHeight="1" x14ac:dyDescent="0.4">
      <c r="B79" s="256" t="s">
        <v>232</v>
      </c>
      <c r="C79" s="257">
        <f>C76-C77-C78</f>
        <v>217540.33333333334</v>
      </c>
      <c r="D79" s="258">
        <f>C79/C74</f>
        <v>0.61332352197640583</v>
      </c>
      <c r="E79" s="259">
        <f>E76-E77-E78</f>
        <v>217540.33333333334</v>
      </c>
      <c r="F79" s="258">
        <f>E79/E74</f>
        <v>0.61332352197640583</v>
      </c>
      <c r="G79" s="260"/>
      <c r="H79" s="259">
        <f>H76-H77-H78</f>
        <v>217540.33333333334</v>
      </c>
      <c r="I79" s="258">
        <f>H79/H74</f>
        <v>0.61332352197640583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174153</v>
      </c>
      <c r="D81" s="159">
        <f>C81/$C$74</f>
        <v>0.49099920776112166</v>
      </c>
      <c r="E81" s="180">
        <f>E74*F81</f>
        <v>174153</v>
      </c>
      <c r="F81" s="160">
        <f>I81</f>
        <v>0.49099920776112166</v>
      </c>
      <c r="H81" s="238">
        <f>Inputs!F94</f>
        <v>174153</v>
      </c>
      <c r="I81" s="160">
        <f>H81/$H$74</f>
        <v>0.49099920776112166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43387.333333333343</v>
      </c>
      <c r="D83" s="164">
        <f>C83/$C$74</f>
        <v>0.12232431421528413</v>
      </c>
      <c r="E83" s="165">
        <f>E79-E81-E82-E80</f>
        <v>43387.333333333343</v>
      </c>
      <c r="F83" s="164">
        <f>E83/E74</f>
        <v>0.12232431421528413</v>
      </c>
      <c r="H83" s="165">
        <f>H79-H81-H82-H80</f>
        <v>43387.333333333343</v>
      </c>
      <c r="I83" s="164">
        <f>H83/$H$74</f>
        <v>0.12232431421528413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32540.500000000007</v>
      </c>
      <c r="D85" s="258">
        <f>C85/$C$74</f>
        <v>9.1743235661463099E-2</v>
      </c>
      <c r="E85" s="264">
        <f>E83*(1-F84)</f>
        <v>32540.500000000007</v>
      </c>
      <c r="F85" s="258">
        <f>E85/E74</f>
        <v>9.1743235661463099E-2</v>
      </c>
      <c r="G85" s="260"/>
      <c r="H85" s="264">
        <f>H83*(1-I84)</f>
        <v>32540.500000000007</v>
      </c>
      <c r="I85" s="258">
        <f>H85/$H$74</f>
        <v>9.1743235661463099E-2</v>
      </c>
      <c r="K85" s="24"/>
    </row>
    <row r="86" spans="1:11" ht="15" customHeight="1" x14ac:dyDescent="0.4">
      <c r="B86" s="87" t="s">
        <v>160</v>
      </c>
      <c r="C86" s="167">
        <f>C85*Data!C4/Common_Shares</f>
        <v>0.60837225669043515</v>
      </c>
      <c r="D86" s="209"/>
      <c r="E86" s="168">
        <f>E85*Data!C4/Common_Shares</f>
        <v>0.60837225669043515</v>
      </c>
      <c r="F86" s="209"/>
      <c r="H86" s="168">
        <f>H85*Data!C4/Common_Shares</f>
        <v>0.60837225669043515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0.13180504198114662</v>
      </c>
      <c r="D87" s="209"/>
      <c r="E87" s="262">
        <f>E86*Exchange_Rate/Dashboard!G3</f>
        <v>0.13180504198114662</v>
      </c>
      <c r="F87" s="209"/>
      <c r="H87" s="262">
        <f>H86*Exchange_Rate/Dashboard!G3</f>
        <v>0.13180504198114662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0.51080000000000003</v>
      </c>
      <c r="D88" s="166">
        <f>C88/C86</f>
        <v>0.83961751112512695</v>
      </c>
      <c r="E88" s="170">
        <f>Inputs!E98</f>
        <v>0.3261</v>
      </c>
      <c r="F88" s="166">
        <f>E88/E86</f>
        <v>0.53602049799902873</v>
      </c>
      <c r="H88" s="170">
        <f>Inputs!F98</f>
        <v>0.3261</v>
      </c>
      <c r="I88" s="166">
        <f>H88/H86</f>
        <v>0.53602049799902873</v>
      </c>
      <c r="K88" s="24"/>
    </row>
    <row r="89" spans="1:11" ht="15" customHeight="1" x14ac:dyDescent="0.4">
      <c r="B89" s="87" t="s">
        <v>221</v>
      </c>
      <c r="C89" s="261">
        <f>C88*Exchange_Rate/Dashboard!G3</f>
        <v>0.11066582130195318</v>
      </c>
      <c r="D89" s="209"/>
      <c r="E89" s="261">
        <f>E88*Exchange_Rate/Dashboard!G3</f>
        <v>7.0650204241517106E-2</v>
      </c>
      <c r="F89" s="209"/>
      <c r="H89" s="261">
        <f>H88*Exchange_Rate/Dashboard!G3</f>
        <v>7.0650204241517106E-2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19.987649244826656</v>
      </c>
      <c r="H93" s="87" t="s">
        <v>209</v>
      </c>
      <c r="I93" s="144">
        <f>FV(H87,D93,0,-(H86/(C93-D94)))*Exchange_Rate</f>
        <v>19.987649244826656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8.1156445382520968</v>
      </c>
      <c r="H94" s="87" t="s">
        <v>210</v>
      </c>
      <c r="I94" s="144">
        <f>FV(H89,D93,0,-(H88/(C93-D94)))*Exchange_Rate</f>
        <v>8.1156445382520968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531529.45805521507</v>
      </c>
      <c r="D97" s="213"/>
      <c r="E97" s="123">
        <f>PV(C94,D93,0,-F93)</f>
        <v>9.9373941978302458</v>
      </c>
      <c r="F97" s="213"/>
      <c r="H97" s="123">
        <f>PV(C94,D93,0,-I93)</f>
        <v>9.9373941978302458</v>
      </c>
      <c r="I97" s="123">
        <f>PV(C93,D93,0,-I93)</f>
        <v>13.571812888120668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531529.45805521507</v>
      </c>
      <c r="D100" s="109">
        <f>MIN(F100*(1-C94),E100)</f>
        <v>8.4467850681557088</v>
      </c>
      <c r="E100" s="109">
        <f>MAX(E97+H98+E99,0)</f>
        <v>9.9373941978302458</v>
      </c>
      <c r="F100" s="109">
        <f>(E100+H100)/2</f>
        <v>9.9373941978302458</v>
      </c>
      <c r="H100" s="109">
        <f>MAX(C100*Data!$C$4/Common_Shares,0)</f>
        <v>9.9373941978302458</v>
      </c>
      <c r="I100" s="109">
        <f>MAX(I97+H98+H99,0)</f>
        <v>13.571812888120668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215818.48322170286</v>
      </c>
      <c r="D103" s="109">
        <f>MIN(F103*(1-C94),E103)</f>
        <v>3.4296732079141381</v>
      </c>
      <c r="E103" s="123">
        <f>PV(C94,D93,0,-F94)</f>
        <v>4.0349096563695745</v>
      </c>
      <c r="F103" s="109">
        <f>(E103+H103)/2</f>
        <v>4.0349096563695745</v>
      </c>
      <c r="H103" s="123">
        <f>PV(C94,D93,0,-I94)</f>
        <v>4.0349096563695745</v>
      </c>
      <c r="I103" s="109">
        <f>PV(C93,D93,0,-I94)</f>
        <v>5.5106034626940508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373673.97063845897</v>
      </c>
      <c r="D106" s="109">
        <f>(D100+D103)/2</f>
        <v>5.9382291380349237</v>
      </c>
      <c r="E106" s="123">
        <f>(E100+E103)/2</f>
        <v>6.9861519270999102</v>
      </c>
      <c r="F106" s="109">
        <f>(F100+F103)/2</f>
        <v>6.9861519270999102</v>
      </c>
      <c r="H106" s="123">
        <f>(H100+H103)/2</f>
        <v>6.9861519270999102</v>
      </c>
      <c r="I106" s="123">
        <f>(I100+I103)/2</f>
        <v>9.541208175407359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