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F08A49-36DF-41C1-99C2-E4D9E414BC3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M52" i="2"/>
  <c r="F93" i="4" l="1"/>
  <c r="F94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<sst xmlns="http://schemas.openxmlformats.org/spreadsheetml/2006/main" count="391" uniqueCount="272">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</sst>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0.11401933240696355</c:v>
                </c:pt>
                <c:pt idx="1">
                  <c:v>0.19137095648691452</c:v>
                </c:pt>
                <c:pt idx="2">
                  <c:v>4.6925281602255647E-4</c:v>
                </c:pt>
                <c:pt idx="3">
                  <c:v>0</c:v>
                </c:pt>
                <c:pt idx="4">
                  <c:v>0.49449639261897682</c:v>
                </c:pt>
                <c:pt idx="5">
                  <c:v>0</c:v>
                </c:pt>
                <c:pt idx="6">
                  <c:v>0.19964406567112258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349983033873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9.1327158586594237E-2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105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246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255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207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1288.HK</v>
      </c>
      <c r="D3" s="278"/>
      <c r="E3" s="87"/>
      <c r="F3" s="3" t="s">
        <v>1</v>
      </c>
      <c r="G3" s="132">
        <v>4.07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农业银行</v>
      </c>
      <c r="D4" s="280"/>
      <c r="E4" s="87"/>
      <c r="F4" s="3" t="s">
        <v>2</v>
      </c>
      <c r="G4" s="283">
        <f>Inputs!C10</f>
        <v>349983033873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1424430.9478631101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0.11401933240696355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0.19137095648691452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4.6925281602255647E-4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0.49449639261897682</v>
      </c>
      <c r="F24" s="140" t="s">
        <v>257</v>
      </c>
      <c r="G24" s="268">
        <f>G3/(Fin_Analysis!H86*G7)</f>
        <v>6.741931419436999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0.40935813555482176</v>
      </c>
    </row>
    <row r="26" spans="1:8" ht="15.75" customHeight="1" x14ac:dyDescent="0.4">
      <c r="B26" s="138" t="s">
        <v>173</v>
      </c>
      <c r="C26" s="171">
        <f>Fin_Analysis!I83</f>
        <v>0.19964406567112258</v>
      </c>
      <c r="F26" s="141" t="s">
        <v>193</v>
      </c>
      <c r="G26" s="178">
        <f>Fin_Analysis!H88*Exchange_Rate/G3</f>
        <v>6.0718228959529545E-2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2.3178643529311711</v>
      </c>
      <c r="D29" s="129">
        <f>G29*(1+G20)</f>
        <v>4.2828442065034755</v>
      </c>
      <c r="E29" s="87"/>
      <c r="F29" s="131">
        <f>IF(Fin_Analysis!C108="Profit",Fin_Analysis!F100,IF(Fin_Analysis!C108="Dividend",Fin_Analysis!F103,Fin_Analysis!F106))</f>
        <v>2.7268992387425541</v>
      </c>
      <c r="G29" s="274">
        <f>IF(Fin_Analysis!C108="Profit",Fin_Analysis!I100,IF(Fin_Analysis!C108="Dividend",Fin_Analysis!I103,Fin_Analysis!I106))</f>
        <v>3.7242123534812834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0.11401933240696355</v>
      </c>
      <c r="D42" s="156">
        <f t="shared" si="34"/>
        <v>0.13247872476498818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0.19137095648691452</v>
      </c>
      <c r="D43" s="153">
        <f t="shared" si="35"/>
        <v>0.20230451950278328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0.49449639261897682</v>
      </c>
      <c r="D45" s="153">
        <f t="shared" si="37"/>
        <v>0.43072155563787501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4.6925281602255647E-4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0.19964406567112258</v>
      </c>
      <c r="D48" s="153">
        <f t="shared" si="40"/>
        <v>0.23449520009435357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2.4768900140190997</v>
      </c>
      <c r="D56" s="153">
        <f t="shared" si="46"/>
        <v>1.8368032926241817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105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95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172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232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160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0.1483254482709507</v>
      </c>
      <c r="D87" s="209"/>
      <c r="E87" s="262">
        <f>E86*Exchange_Rate/Dashboard!G3</f>
        <v>0.1483254482709507</v>
      </c>
      <c r="F87" s="209"/>
      <c r="H87" s="262">
        <f>H86*Exchange_Rate/Dashboard!G3</f>
        <v>0.1483254482709507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221</v>
      </c>
      <c r="C89" s="261">
        <f>C88*Exchange_Rate/Dashboard!G3</f>
        <v>9.1327158586594237E-2</v>
      </c>
      <c r="D89" s="209"/>
      <c r="E89" s="261">
        <f>E88*Exchange_Rate/Dashboard!G3</f>
        <v>6.0718228959529545E-2</v>
      </c>
      <c r="F89" s="209"/>
      <c r="H89" s="261">
        <f>H88*Exchange_Rate/Dashboard!G3</f>
        <v>6.0718228959529545E-2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19.924143050854102</v>
      </c>
      <c r="H93" s="87" t="s">
        <v>209</v>
      </c>
      <c r="I93" s="144">
        <f>FV(H87,D93,0,-(H86/(C93-D94)))*Exchange_Rate</f>
        <v>19.924143050854102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5.4847683834331127</v>
      </c>
      <c r="H94" s="87" t="s">
        <v>210</v>
      </c>
      <c r="I94" s="144">
        <f>FV(H89,D93,0,-(H88/(C93-D94)))*Exchange_Rate</f>
        <v>5.4847683834331127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3466869.0750670414</v>
      </c>
      <c r="D97" s="213"/>
      <c r="E97" s="123">
        <f>PV(C94,D93,0,-F93)</f>
        <v>9.9058203956397524</v>
      </c>
      <c r="F97" s="213"/>
      <c r="H97" s="123">
        <f>PV(C94,D93,0,-I93)</f>
        <v>9.9058203956397524</v>
      </c>
      <c r="I97" s="123">
        <f>PV(C93,D93,0,-I93)</f>
        <v>13.528691549974548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3466869.0750670414</v>
      </c>
      <c r="D100" s="109">
        <f>MIN(F100*(1-C94),E100)</f>
        <v>8.4199473362937898</v>
      </c>
      <c r="E100" s="109">
        <f>MAX(E97+H98+E99,0)</f>
        <v>9.9058203956397524</v>
      </c>
      <c r="F100" s="109">
        <f>(E100+H100)/2</f>
        <v>9.9058203956397524</v>
      </c>
      <c r="H100" s="109">
        <f>MAX(C100*Data!$C$4/Common_Shares,0)</f>
        <v>9.9058203956397524</v>
      </c>
      <c r="I100" s="109">
        <f>MAX(I97+H98+H99,0)</f>
        <v>13.528691549974548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954368.46864109323</v>
      </c>
      <c r="D103" s="109">
        <f>MIN(F103*(1-C94),E103)</f>
        <v>2.3178643529311711</v>
      </c>
      <c r="E103" s="123">
        <f>PV(C94,D93,0,-F94)</f>
        <v>2.7268992387425541</v>
      </c>
      <c r="F103" s="109">
        <f>(E103+H103)/2</f>
        <v>2.7268992387425541</v>
      </c>
      <c r="H103" s="123">
        <f>PV(C94,D93,0,-I94)</f>
        <v>2.7268992387425541</v>
      </c>
      <c r="I103" s="109">
        <f>PV(C93,D93,0,-I94)</f>
        <v>3.7242123534812834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2210618.7718540672</v>
      </c>
      <c r="D106" s="109">
        <f>(D100+D103)/2</f>
        <v>5.3689058446124802</v>
      </c>
      <c r="E106" s="123">
        <f>(E100+E103)/2</f>
        <v>6.3163598171911532</v>
      </c>
      <c r="F106" s="109">
        <f>(F100+F103)/2</f>
        <v>6.3163598171911532</v>
      </c>
      <c r="H106" s="123">
        <f>(H100+H103)/2</f>
        <v>6.3163598171911532</v>
      </c>
      <c r="I106" s="123">
        <f>(I100+I103)/2</f>
        <v>8.6264519517279155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