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5F39C03-A778-48E3-99E3-0CB4853341B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C72" i="4"/>
  <c r="D69" i="4"/>
  <c r="D68" i="4"/>
  <c r="C68" i="4"/>
  <c r="D67" i="4"/>
  <c r="C66" i="4"/>
  <c r="C65" i="4"/>
  <c r="D62" i="4"/>
  <c r="D63" i="4" s="1"/>
  <c r="D61" i="4"/>
  <c r="D60" i="4"/>
  <c r="C60" i="4"/>
  <c r="D59" i="4"/>
  <c r="D58" i="4"/>
  <c r="D71" i="4" s="1"/>
  <c r="D56" i="4"/>
  <c r="D55" i="4"/>
  <c r="C55" i="4"/>
  <c r="D50" i="4"/>
  <c r="D53" i="4" s="1"/>
  <c r="C48" i="4"/>
  <c r="D44" i="4"/>
  <c r="C44" i="4"/>
  <c r="H33" i="4"/>
  <c r="G33" i="4"/>
  <c r="F33" i="4"/>
  <c r="E33" i="4"/>
  <c r="D33" i="4"/>
  <c r="C33" i="4"/>
  <c r="H31" i="4"/>
  <c r="G31" i="4"/>
  <c r="F31" i="4"/>
  <c r="E31" i="4"/>
  <c r="D31" i="4"/>
  <c r="C31" i="4"/>
  <c r="H27" i="4"/>
  <c r="G27" i="4"/>
  <c r="F27" i="4"/>
  <c r="E27" i="4"/>
  <c r="D27" i="4"/>
  <c r="C27" i="4"/>
  <c r="H26" i="4"/>
  <c r="G26" i="4"/>
  <c r="F26" i="4"/>
  <c r="E26" i="4"/>
  <c r="D26" i="4"/>
  <c r="C26" i="4"/>
  <c r="M52" i="2"/>
  <c r="F96" i="4" l="1"/>
  <c r="E92" i="4"/>
  <c r="F97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C52" i="2" s="1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G52" i="2" l="1"/>
  <c r="F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D106" i="3"/>
  <c r="C29" i="1" s="1"/>
</calcChain>
</file>

<file path=xl/sharedStrings.xml><?xml version="1.0" encoding="utf-8"?>
<sst xmlns="http://schemas.openxmlformats.org/spreadsheetml/2006/main" count="391" uniqueCount="273">
  <si>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</si>
  <si>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</si>
  <si>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</si>
  <si>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</si>
  <si>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</si>
  <si>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</si>
  <si>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</si>
  <si>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</si>
  <si>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</si>
  <si>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</si>
  <si>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</si>
  <si>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</si>
  <si>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</si>
  <si>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</si>
  <si>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</si>
  <si>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</si>
  <si>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</si>
  <si>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</si>
  <si>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</si>
  <si>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</si>
  <si>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</si>
  <si>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</si>
  <si>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</si>
  <si>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</si>
  <si>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</si>
  <si>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</si>
  <si>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</si>
  <si>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</si>
  <si>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</si>
  <si>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</si>
  <si>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</si>
  <si>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</si>
  <si>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</si>
  <si>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</si>
  <si>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</si>
  <si>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</si>
  <si>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</si>
  <si>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</si>
  <si>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</si>
  <si>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</si>
  <si>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</si>
  <si>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</si>
  <si>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</si>
  <si>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</si>
  <si>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</si>
  <si>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</si>
  <si>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</si>
  <si>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</si>
  <si>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</si>
  <si>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</si>
  <si>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</si>
  <si>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</si>
  <si>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</si>
  <si>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</si>
  <si>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</si>
  <si>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</si>
  <si>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</si>
  <si>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</si>
  <si>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</si>
  <si>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</si>
  <si>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</si>
  <si>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</si>
  <si>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</si>
  <si>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</si>
  <si>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</si>
  <si>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</si>
  <si>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</si>
  <si>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</si>
  <si>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</si>
  <si>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</si>
  <si>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</si>
  <si>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</si>
  <si>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</si>
  <si>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</si>
  <si>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</si>
  <si>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</si>
  <si>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</si>
  <si>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</si>
  <si>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</si>
  <si>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</si>
  <si>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</si>
  <si>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</si>
  <si>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</si>
  <si>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</si>
  <si>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</si>
  <si>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</si>
  <si>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</si>
  <si>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</si>
  <si>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</si>
  <si>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</si>
  <si>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</si>
  <si>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</si>
  <si>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</si>
  <si>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</si>
  <si>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</si>
  <si>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</si>
  <si>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</si>
  <si>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</si>
  <si>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</si>
  <si>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</si>
  <si>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</si>
  <si>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</si>
  <si>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</si>
  <si>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</si>
  <si>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</si>
  <si>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</si>
  <si>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</si>
  <si>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</si>
  <si>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</si>
  <si>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</si>
  <si>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</si>
  <si>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</si>
  <si>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</si>
  <si>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</si>
  <si>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</si>
  <si>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</si>
  <si>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</si>
  <si>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</si>
  <si>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</si>
  <si>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</si>
  <si>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</si>
  <si>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</si>
  <si>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</si>
  <si>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</si>
  <si>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</si>
  <si>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</si>
  <si>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</si>
  <si>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</si>
  <si>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</si>
  <si>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</si>
  <si>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</si>
  <si>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</si>
  <si>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</si>
  <si>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</si>
  <si>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</si>
  <si>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</si>
  <si>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</si>
  <si>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</si>
  <si>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</si>
  <si>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</si>
  <si>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</si>
  <si>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</si>
  <si>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</si>
  <si>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</si>
  <si>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</si>
  <si>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</si>
  <si>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</si>
  <si>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</si>
  <si>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</si>
  <si>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</si>
  <si>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</si>
  <si>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</si>
  <si>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</si>
  <si>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</si>
  <si>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</si>
  <si>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</si>
  <si>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</si>
  <si>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</si>
  <si>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</si>
  <si>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</si>
  <si>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</si>
  <si>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</si>
  <si>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</si>
  <si>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</si>
  <si>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</si>
  <si>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</si>
  <si>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</si>
  <si>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</si>
  <si>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</si>
  <si>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</si>
  <si>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</si>
  <si>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</si>
  <si>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</si>
  <si>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</si>
  <si>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</si>
  <si>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</si>
  <si>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</si>
  <si>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</si>
  <si>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</si>
  <si>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</si>
  <si>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</si>
  <si>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</si>
  <si>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</si>
  <si>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</si>
  <si>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</si>
  <si>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</si>
  <si>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</si>
  <si>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</si>
  <si>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</si>
  <si>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</si>
  <si>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</si>
  <si>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</si>
  <si>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</si>
  <si>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</si>
  <si>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</si>
  <si>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</si>
  <si>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</si>
  <si>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</si>
  <si>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</si>
  <si>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</si>
  <si>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</si>
  <si>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</si>
  <si>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</si>
  <si>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</si>
  <si>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</si>
  <si>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</si>
  <si>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</si>
  <si>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</si>
  <si>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</si>
  <si>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</si>
  <si>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</si>
  <si>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</si>
  <si>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</si>
  <si>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</si>
  <si>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</si>
  <si>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</si>
  <si>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</si>
  <si>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</si>
  <si>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</si>
  <si>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</si>
  <si>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</si>
  <si>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</si>
  <si>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</si>
  <si>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</si>
  <si>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</si>
  <si>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</si>
  <si>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</si>
  <si>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</si>
  <si>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</si>
  <si>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</si>
  <si>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</si>
  <si>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</si>
  <si>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</si>
  <si>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</si>
  <si>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</si>
  <si>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</si>
  <si>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</si>
  <si>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</si>
  <si>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</si>
  <si>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</si>
  <si>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</si>
  <si>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</si>
  <si>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</si>
  <si>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</si>
  <si>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</si>
  <si>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</si>
  <si>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</si>
  <si>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</si>
  <si>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</si>
  <si>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</si>
  <si>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</si>
  <si>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</si>
  <si>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</si>
  <si>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</si>
  <si>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</si>
  <si>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</si>
  <si>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</si>
  <si>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</si>
  <si>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</si>
  <si>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</si>
  <si>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</si>
  <si>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</si>
  <si>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</si>
  <si>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</si>
  <si>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1448.HK</t>
  </si>
  <si>
    <t>福壽園</t>
  </si>
  <si>
    <t>Tier 3</t>
  </si>
  <si>
    <t>C0015</t>
  </si>
  <si>
    <t>CNY</t>
  </si>
  <si>
    <t>Strongly agree</t>
  </si>
  <si>
    <t>agree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</si>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</sst>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0.33505756595532243</c:v>
                </c:pt>
                <c:pt idx="1">
                  <c:v>0.14727310847787448</c:v>
                </c:pt>
                <c:pt idx="2">
                  <c:v>9.3695566779006881E-2</c:v>
                </c:pt>
                <c:pt idx="3">
                  <c:v>3.6534604450711924E-2</c:v>
                </c:pt>
                <c:pt idx="4">
                  <c:v>2.8127543493622026E-3</c:v>
                </c:pt>
                <c:pt idx="5">
                  <c:v>0.01</c:v>
                </c:pt>
                <c:pt idx="6">
                  <c:v>0.37462639998772207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265</v>
      </c>
    </row>
    <row r="6" spans="1:5" ht="13.9" x14ac:dyDescent="0.4">
      <c r="B6" s="141" t="s">
        <v>163</v>
      </c>
      <c r="C6" s="189">
        <v>45637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266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2319863422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255</v>
      </c>
      <c r="C15" s="176" t="s">
        <v>260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269</v>
      </c>
      <c r="D18" s="24"/>
    </row>
    <row r="19" spans="2:13" ht="13.9" x14ac:dyDescent="0.4">
      <c r="B19" s="240" t="s">
        <v>239</v>
      </c>
      <c r="C19" s="242" t="s">
        <v>270</v>
      </c>
      <c r="D19" s="24"/>
    </row>
    <row r="20" spans="2:13" ht="13.9" x14ac:dyDescent="0.4">
      <c r="B20" s="241" t="s">
        <v>228</v>
      </c>
      <c r="C20" s="242" t="s">
        <v>270</v>
      </c>
      <c r="D20" s="24"/>
    </row>
    <row r="21" spans="2:13" ht="13.9" x14ac:dyDescent="0.4">
      <c r="B21" s="224" t="s">
        <v>231</v>
      </c>
      <c r="C21" s="242" t="s">
        <v>270</v>
      </c>
      <c r="D21" s="24"/>
    </row>
    <row r="22" spans="2:13" ht="78.75" x14ac:dyDescent="0.4">
      <c r="B22" s="226" t="s">
        <v>230</v>
      </c>
      <c r="C22" s="243" t="s">
        <v>258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2628029</v>
      </c>
      <c r="D25" s="149">
        <v>2171626</v>
      </c>
      <c r="E25" s="149">
        <v>2325848</v>
      </c>
      <c r="F25" s="149">
        <v>1892537</v>
      </c>
      <c r="G25" s="149">
        <v>1850574</v>
      </c>
      <c r="H25" s="149">
        <v>1651299</v>
      </c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f>506360+123086+188935+62160</f>
        <v>880541</v>
      </c>
      <c r="D26" s="150">
        <f>463624+123266+162065+55417</f>
        <v>804372</v>
      </c>
      <c r="E26" s="150">
        <f>469616+167358+177538+53122</f>
        <v>867634</v>
      </c>
      <c r="F26" s="150">
        <f>385805+76495+149109+52906</f>
        <v>664315</v>
      </c>
      <c r="G26" s="150">
        <f>416125+72897+141477+54418</f>
        <v>684917</v>
      </c>
      <c r="H26" s="150">
        <f>401192+70137+117113+55002</f>
        <v>643444</v>
      </c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48899+166609+171530</f>
        <v>387038</v>
      </c>
      <c r="D27" s="150">
        <f>43155+155953+153616</f>
        <v>352724</v>
      </c>
      <c r="E27" s="150">
        <f>43986+146734+197643</f>
        <v>388363</v>
      </c>
      <c r="F27" s="150">
        <f>36072+136713+133406</f>
        <v>306191</v>
      </c>
      <c r="G27" s="150">
        <f>38671+123170+139039</f>
        <v>300880</v>
      </c>
      <c r="H27" s="150">
        <f>43876+92730+137717</f>
        <v>274323</v>
      </c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7392</v>
      </c>
      <c r="D29" s="150">
        <v>5008</v>
      </c>
      <c r="E29" s="150">
        <v>7246</v>
      </c>
      <c r="F29" s="150">
        <v>9525</v>
      </c>
      <c r="G29" s="150">
        <v>11128</v>
      </c>
      <c r="H29" s="150">
        <v>8293</v>
      </c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184676</v>
      </c>
      <c r="D30" s="150">
        <v>152133</v>
      </c>
      <c r="E30" s="150">
        <v>169611</v>
      </c>
      <c r="F30" s="150">
        <v>137241</v>
      </c>
      <c r="G30" s="150">
        <v>156740</v>
      </c>
      <c r="H30" s="150">
        <v>127269</v>
      </c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f>1558687-1462673</f>
        <v>96014</v>
      </c>
      <c r="D31" s="150">
        <f>1208319-1166568</f>
        <v>41751</v>
      </c>
      <c r="E31" s="150">
        <f>1306350-1263647</f>
        <v>42703</v>
      </c>
      <c r="F31" s="150">
        <f>1076532-1031253</f>
        <v>45279</v>
      </c>
      <c r="G31" s="150">
        <f>1025232-938998</f>
        <v>86234</v>
      </c>
      <c r="H31" s="150">
        <f>862237-818965</f>
        <v>43272</v>
      </c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166609</v>
      </c>
      <c r="D32" s="150">
        <v>155953</v>
      </c>
      <c r="E32" s="150">
        <v>146734</v>
      </c>
      <c r="F32" s="150">
        <v>136713</v>
      </c>
      <c r="G32" s="150">
        <v>123170</v>
      </c>
      <c r="H32" s="150">
        <v>92730</v>
      </c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f>30952+11624+2054</f>
        <v>44630</v>
      </c>
      <c r="D33" s="150">
        <f>69532+10802+4734</f>
        <v>85068</v>
      </c>
      <c r="E33" s="150">
        <f>123181+5449+43950+3022</f>
        <v>175602</v>
      </c>
      <c r="F33" s="150">
        <f>100209+6209+11785</f>
        <v>118203</v>
      </c>
      <c r="G33" s="150">
        <f>86119+5245+98127+229</f>
        <v>189720</v>
      </c>
      <c r="H33" s="150">
        <f>96084+7343+8926+7165+7582</f>
        <v>127100</v>
      </c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0.0686+0.0906+0.2139</f>
        <v>0.37309999999999999</v>
      </c>
      <c r="D44" s="250">
        <f>0.0758+0.0564</f>
        <v>0.13220000000000001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0.10291604667185099</v>
      </c>
      <c r="D45" s="152">
        <f>IF(D44="","",D44*Exchange_Rate/Dashboard!$G$3)</f>
        <v>3.6466098552716972E-2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f>267255+2247155</f>
        <v>2514410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v>170507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890582</v>
      </c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>
        <v>14672</v>
      </c>
      <c r="D54" s="60">
        <v>0.1</v>
      </c>
      <c r="E54" s="112"/>
    </row>
    <row r="55" spans="2:5" ht="13.9" x14ac:dyDescent="0.4">
      <c r="B55" s="3" t="s">
        <v>46</v>
      </c>
      <c r="C55" s="59">
        <f>566307+91401</f>
        <v>657708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>
        <f>204633+92615</f>
        <v>297248</v>
      </c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>
        <v>21963</v>
      </c>
      <c r="D64" s="60">
        <v>0.4</v>
      </c>
      <c r="E64" s="112"/>
    </row>
    <row r="65" spans="2:5" ht="13.9" x14ac:dyDescent="0.4">
      <c r="B65" s="3" t="s">
        <v>69</v>
      </c>
      <c r="C65" s="59">
        <f>3000+44523</f>
        <v>47523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f>6509+2031204</f>
        <v>2037713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f>538274+108026</f>
        <v>646300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306381</v>
      </c>
      <c r="D70" s="60">
        <v>0.05</v>
      </c>
      <c r="E70" s="112"/>
    </row>
    <row r="71" spans="2:5" ht="13.9" x14ac:dyDescent="0.4">
      <c r="B71" s="3" t="s">
        <v>74</v>
      </c>
      <c r="C71" s="59">
        <v>99594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f>1091455+12772</f>
        <v>1104227</v>
      </c>
      <c r="D72" s="248">
        <v>0</v>
      </c>
      <c r="E72" s="249"/>
    </row>
    <row r="73" spans="2:5" ht="13.9" x14ac:dyDescent="0.4">
      <c r="B73" s="3" t="s">
        <v>38</v>
      </c>
      <c r="C73" s="59">
        <v>200000</v>
      </c>
    </row>
    <row r="74" spans="2:5" ht="13.9" x14ac:dyDescent="0.4">
      <c r="B74" s="3" t="s">
        <v>39</v>
      </c>
      <c r="C74" s="59">
        <v>22844</v>
      </c>
    </row>
    <row r="75" spans="2:5" ht="13.9" x14ac:dyDescent="0.4">
      <c r="B75" s="3" t="s">
        <v>40</v>
      </c>
      <c r="C75" s="59">
        <v>29863</v>
      </c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1148286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>
        <v>31686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881357</v>
      </c>
    </row>
    <row r="83" spans="2:8" ht="14.25" thickTop="1" x14ac:dyDescent="0.4">
      <c r="B83" s="73" t="s">
        <v>220</v>
      </c>
      <c r="C83" s="59">
        <v>6069865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271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2628029</v>
      </c>
      <c r="D91" s="209"/>
      <c r="E91" s="251">
        <f>C91</f>
        <v>2628029</v>
      </c>
      <c r="F91" s="251">
        <f>C91</f>
        <v>2628029</v>
      </c>
    </row>
    <row r="92" spans="2:8" ht="13.9" x14ac:dyDescent="0.4">
      <c r="B92" s="104" t="s">
        <v>105</v>
      </c>
      <c r="C92" s="77">
        <f>C26</f>
        <v>880541</v>
      </c>
      <c r="D92" s="159">
        <f>C92/C91</f>
        <v>0.33505756595532243</v>
      </c>
      <c r="E92" s="252">
        <f>E91*D92</f>
        <v>880541.00000000012</v>
      </c>
      <c r="F92" s="252">
        <f>F91*D92</f>
        <v>880541.00000000012</v>
      </c>
    </row>
    <row r="93" spans="2:8" ht="13.9" x14ac:dyDescent="0.4">
      <c r="B93" s="104" t="s">
        <v>247</v>
      </c>
      <c r="C93" s="77">
        <f>C27+C28</f>
        <v>387038</v>
      </c>
      <c r="D93" s="159">
        <f>C93/C91</f>
        <v>0.14727310847787448</v>
      </c>
      <c r="E93" s="252">
        <f>E91*D93</f>
        <v>387038</v>
      </c>
      <c r="F93" s="252">
        <f>F91*D93</f>
        <v>387038</v>
      </c>
    </row>
    <row r="94" spans="2:8" ht="13.9" x14ac:dyDescent="0.4">
      <c r="B94" s="104" t="s">
        <v>256</v>
      </c>
      <c r="C94" s="77">
        <f>C29</f>
        <v>7392</v>
      </c>
      <c r="D94" s="159">
        <f>C94/C91</f>
        <v>2.8127543493622026E-3</v>
      </c>
      <c r="E94" s="253"/>
      <c r="F94" s="252">
        <f>F91*D94</f>
        <v>7392</v>
      </c>
    </row>
    <row r="95" spans="2:8" ht="13.9" x14ac:dyDescent="0.4">
      <c r="B95" s="28" t="s">
        <v>246</v>
      </c>
      <c r="C95" s="77">
        <f>ABS(MAX(C33,0)-C32)</f>
        <v>121979</v>
      </c>
      <c r="D95" s="159">
        <f>C95/C91</f>
        <v>4.6414632410829562E-2</v>
      </c>
      <c r="E95" s="252">
        <f>E91*2%</f>
        <v>52560.58</v>
      </c>
      <c r="F95" s="252">
        <f>F91*1%</f>
        <v>26280.29</v>
      </c>
    </row>
    <row r="96" spans="2:8" ht="13.9" x14ac:dyDescent="0.4">
      <c r="B96" s="28" t="s">
        <v>109</v>
      </c>
      <c r="C96" s="77">
        <f>MAX(C31,0)</f>
        <v>96014</v>
      </c>
      <c r="D96" s="159">
        <f>C96/C91</f>
        <v>3.6534604450711924E-2</v>
      </c>
      <c r="E96" s="253"/>
      <c r="F96" s="252">
        <f>F91*D96</f>
        <v>96014.000000000015</v>
      </c>
    </row>
    <row r="97" spans="2:7" ht="13.9" x14ac:dyDescent="0.4">
      <c r="B97" s="73" t="s">
        <v>172</v>
      </c>
      <c r="C97" s="77">
        <f>MAX(C30,0)/(1-C16)</f>
        <v>246234.66666666666</v>
      </c>
      <c r="D97" s="159">
        <f>C97/C91</f>
        <v>9.3695566779006881E-2</v>
      </c>
      <c r="E97" s="253"/>
      <c r="F97" s="252">
        <f>F91*D97</f>
        <v>246234.66666666669</v>
      </c>
    </row>
    <row r="98" spans="2:7" ht="13.9" x14ac:dyDescent="0.4">
      <c r="B98" s="86" t="s">
        <v>207</v>
      </c>
      <c r="C98" s="237">
        <f>C44</f>
        <v>0.37309999999999999</v>
      </c>
      <c r="D98" s="266"/>
      <c r="E98" s="254">
        <f>F98</f>
        <v>0.15920000000000001</v>
      </c>
      <c r="F98" s="254">
        <f>0.0686+0.0906</f>
        <v>0.15920000000000001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1448.HK : 福壽園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1448.HK</v>
      </c>
      <c r="D3" s="278"/>
      <c r="E3" s="87"/>
      <c r="F3" s="3" t="s">
        <v>1</v>
      </c>
      <c r="G3" s="132">
        <v>3.88</v>
      </c>
      <c r="H3" s="134" t="s">
        <v>272</v>
      </c>
    </row>
    <row r="4" spans="1:10" ht="15.75" customHeight="1" x14ac:dyDescent="0.4">
      <c r="B4" s="35" t="s">
        <v>195</v>
      </c>
      <c r="C4" s="279" t="str">
        <f>Inputs!C5</f>
        <v>福壽園</v>
      </c>
      <c r="D4" s="280"/>
      <c r="E4" s="87"/>
      <c r="F4" s="3" t="s">
        <v>2</v>
      </c>
      <c r="G4" s="283">
        <f>Inputs!C10</f>
        <v>2319863422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45637</v>
      </c>
      <c r="D5" s="282"/>
      <c r="E5" s="34"/>
      <c r="F5" s="35" t="s">
        <v>99</v>
      </c>
      <c r="G5" s="275">
        <f>G3*G4/1000000</f>
        <v>9001.0700773600001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Tier 3</v>
      </c>
      <c r="D7" s="187" t="str">
        <f>Inputs!C9</f>
        <v>C0015</v>
      </c>
      <c r="E7" s="87"/>
      <c r="F7" s="35" t="s">
        <v>5</v>
      </c>
      <c r="G7" s="133">
        <v>1.0702606836954753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0.33505756595532243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0.14727310847787448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9.3695566779006881E-2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3.6534604450711924E-2</v>
      </c>
      <c r="F23" s="140" t="s">
        <v>188</v>
      </c>
      <c r="G23" s="177">
        <f>G3/(Data!C36*Data!C4/Common_Shares*Exchange_Rate)</f>
        <v>1.2405865985354356</v>
      </c>
    </row>
    <row r="24" spans="1:8" ht="15.75" customHeight="1" x14ac:dyDescent="0.4">
      <c r="B24" s="137" t="s">
        <v>170</v>
      </c>
      <c r="C24" s="171">
        <f>Fin_Analysis!I81</f>
        <v>2.8127543493622026E-3</v>
      </c>
      <c r="F24" s="140" t="s">
        <v>259</v>
      </c>
      <c r="G24" s="268">
        <f>G3/(Fin_Analysis!H86*G7)</f>
        <v>11.389765312245856</v>
      </c>
    </row>
    <row r="25" spans="1:8" ht="15.75" customHeight="1" x14ac:dyDescent="0.4">
      <c r="B25" s="137" t="s">
        <v>243</v>
      </c>
      <c r="C25" s="171">
        <f>Fin_Analysis!I82</f>
        <v>0.01</v>
      </c>
      <c r="F25" s="140" t="s">
        <v>174</v>
      </c>
      <c r="G25" s="171">
        <f>Fin_Analysis!I88</f>
        <v>0.50016774928512098</v>
      </c>
    </row>
    <row r="26" spans="1:8" ht="15.75" customHeight="1" x14ac:dyDescent="0.4">
      <c r="B26" s="138" t="s">
        <v>173</v>
      </c>
      <c r="C26" s="171">
        <f>Fin_Analysis!I83</f>
        <v>0.37462639998772207</v>
      </c>
      <c r="F26" s="141" t="s">
        <v>193</v>
      </c>
      <c r="G26" s="178">
        <f>Fin_Analysis!H88*Exchange_Rate/G3</f>
        <v>4.3913788877401987E-2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257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2.6685581961480893</v>
      </c>
      <c r="D29" s="129">
        <f>G29*(1+G20)</f>
        <v>4.9532901473235462</v>
      </c>
      <c r="E29" s="87"/>
      <c r="F29" s="131">
        <f>IF(Fin_Analysis!C108="Profit",Fin_Analysis!F100,IF(Fin_Analysis!C108="Dividend",Fin_Analysis!F103,Fin_Analysis!F106))</f>
        <v>3.1394802307624579</v>
      </c>
      <c r="G29" s="274">
        <f>IF(Fin_Analysis!C108="Profit",Fin_Analysis!I100,IF(Fin_Analysis!C108="Dividend",Fin_Analysis!I103,Fin_Analysis!I106))</f>
        <v>4.3072088237596056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Strongly 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>
        <f>H14</f>
        <v>563840</v>
      </c>
      <c r="G3" s="85">
        <f>C14</f>
        <v>1114215.3333333333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>
        <f>(G3/F3)^(1/H3)-1</f>
        <v>0.12021712633943271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2628029</v>
      </c>
      <c r="D6" s="200">
        <f>IF(Inputs!D25="","",Inputs!D25)</f>
        <v>2171626</v>
      </c>
      <c r="E6" s="200">
        <f>IF(Inputs!E25="","",Inputs!E25)</f>
        <v>2325848</v>
      </c>
      <c r="F6" s="200">
        <f>IF(Inputs!F25="","",Inputs!F25)</f>
        <v>1892537</v>
      </c>
      <c r="G6" s="200">
        <f>IF(Inputs!G25="","",Inputs!G25)</f>
        <v>1850574</v>
      </c>
      <c r="H6" s="200">
        <f>IF(Inputs!H25="","",Inputs!H25)</f>
        <v>1651299</v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0.21016648354735112</v>
      </c>
      <c r="D7" s="92">
        <f t="shared" si="1"/>
        <v>-6.6307858467105296E-2</v>
      </c>
      <c r="E7" s="92">
        <f t="shared" si="1"/>
        <v>0.22895774296618776</v>
      </c>
      <c r="F7" s="92">
        <f t="shared" si="1"/>
        <v>2.2675667117337595E-2</v>
      </c>
      <c r="G7" s="92">
        <f t="shared" si="1"/>
        <v>0.12067772099419916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880541</v>
      </c>
      <c r="D8" s="199">
        <f>IF(Inputs!D26="","",Inputs!D26)</f>
        <v>804372</v>
      </c>
      <c r="E8" s="199">
        <f>IF(Inputs!E26="","",Inputs!E26)</f>
        <v>867634</v>
      </c>
      <c r="F8" s="199">
        <f>IF(Inputs!F26="","",Inputs!F26)</f>
        <v>664315</v>
      </c>
      <c r="G8" s="199">
        <f>IF(Inputs!G26="","",Inputs!G26)</f>
        <v>684917</v>
      </c>
      <c r="H8" s="199">
        <f>IF(Inputs!H26="","",Inputs!H26)</f>
        <v>643444</v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1747488</v>
      </c>
      <c r="D9" s="151">
        <f t="shared" si="2"/>
        <v>1367254</v>
      </c>
      <c r="E9" s="151">
        <f t="shared" si="2"/>
        <v>1458214</v>
      </c>
      <c r="F9" s="151">
        <f t="shared" si="2"/>
        <v>1228222</v>
      </c>
      <c r="G9" s="151">
        <f t="shared" si="2"/>
        <v>1165657</v>
      </c>
      <c r="H9" s="151">
        <f t="shared" si="2"/>
        <v>1007855</v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387038</v>
      </c>
      <c r="D10" s="199">
        <f>IF(Inputs!D27="","",Inputs!D27)</f>
        <v>352724</v>
      </c>
      <c r="E10" s="199">
        <f>IF(Inputs!E27="","",Inputs!E27)</f>
        <v>388363</v>
      </c>
      <c r="F10" s="199">
        <f>IF(Inputs!F27="","",Inputs!F27)</f>
        <v>306191</v>
      </c>
      <c r="G10" s="199">
        <f>IF(Inputs!G27="","",Inputs!G27)</f>
        <v>300880</v>
      </c>
      <c r="H10" s="199">
        <f>IF(Inputs!H27="","",Inputs!H27)</f>
        <v>274323</v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246234.66666666666</v>
      </c>
      <c r="D12" s="199">
        <f>IF(Inputs!D30="","",MAX(Inputs!D30,0)/(1-Fin_Analysis!$I$84))</f>
        <v>202844</v>
      </c>
      <c r="E12" s="199">
        <f>IF(Inputs!E30="","",MAX(Inputs!E30,0)/(1-Fin_Analysis!$I$84))</f>
        <v>226148</v>
      </c>
      <c r="F12" s="199">
        <f>IF(Inputs!F30="","",MAX(Inputs!F30,0)/(1-Fin_Analysis!$I$84))</f>
        <v>182988</v>
      </c>
      <c r="G12" s="199">
        <f>IF(Inputs!G30="","",MAX(Inputs!G30,0)/(1-Fin_Analysis!$I$84))</f>
        <v>208986.66666666666</v>
      </c>
      <c r="H12" s="199">
        <f>IF(Inputs!H30="","",MAX(Inputs!H30,0)/(1-Fin_Analysis!$I$84))</f>
        <v>169692</v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0.4239737587877962</v>
      </c>
      <c r="D13" s="229">
        <f t="shared" si="3"/>
        <v>0.37376877970700295</v>
      </c>
      <c r="E13" s="229">
        <f t="shared" si="3"/>
        <v>0.3627507042592637</v>
      </c>
      <c r="F13" s="229">
        <f t="shared" si="3"/>
        <v>0.39050385804874621</v>
      </c>
      <c r="G13" s="229">
        <f t="shared" si="3"/>
        <v>0.35437131037901398</v>
      </c>
      <c r="H13" s="229">
        <f t="shared" si="3"/>
        <v>0.34145239596220917</v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1114215.3333333333</v>
      </c>
      <c r="D14" s="230">
        <f t="shared" ref="D14:M14" si="4">IF(D6="","",D9-D10-MAX(D11,0)-MAX(D12,0))</f>
        <v>811686</v>
      </c>
      <c r="E14" s="230">
        <f t="shared" si="4"/>
        <v>843703</v>
      </c>
      <c r="F14" s="230">
        <f t="shared" si="4"/>
        <v>739043</v>
      </c>
      <c r="G14" s="230">
        <f t="shared" si="4"/>
        <v>655790.33333333337</v>
      </c>
      <c r="H14" s="230">
        <f t="shared" si="4"/>
        <v>563840</v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0.37271720016525262</v>
      </c>
      <c r="D15" s="232">
        <f t="shared" ref="D15:M15" si="5">IF(E14="","",IF(ABS(D14+E14)=ABS(D14)+ABS(E14),IF(D14&lt;0,-1,1)*(D14-E14)/E14,"Turn"))</f>
        <v>-3.7948187928690549E-2</v>
      </c>
      <c r="E15" s="232">
        <f t="shared" si="5"/>
        <v>0.14161557581899836</v>
      </c>
      <c r="F15" s="232">
        <f t="shared" si="5"/>
        <v>0.12695012786098803</v>
      </c>
      <c r="G15" s="232">
        <f t="shared" si="5"/>
        <v>0.16307876939084381</v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96014</v>
      </c>
      <c r="D16" s="199">
        <f>IF(Inputs!D31="","",Inputs!D31)</f>
        <v>41751</v>
      </c>
      <c r="E16" s="199">
        <f>IF(Inputs!E31="","",Inputs!E31)</f>
        <v>42703</v>
      </c>
      <c r="F16" s="199">
        <f>IF(Inputs!F31="","",Inputs!F31)</f>
        <v>45279</v>
      </c>
      <c r="G16" s="199">
        <f>IF(Inputs!G31="","",Inputs!G31)</f>
        <v>86234</v>
      </c>
      <c r="H16" s="199">
        <f>IF(Inputs!H31="","",Inputs!H31)</f>
        <v>43272</v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7392</v>
      </c>
      <c r="D17" s="199">
        <f>IF(Inputs!D29="","",Inputs!D29)</f>
        <v>5008</v>
      </c>
      <c r="E17" s="199">
        <f>IF(Inputs!E29="","",Inputs!E29)</f>
        <v>7246</v>
      </c>
      <c r="F17" s="199">
        <f>IF(Inputs!F29="","",Inputs!F29)</f>
        <v>9525</v>
      </c>
      <c r="G17" s="199">
        <f>IF(Inputs!G29="","",Inputs!G29)</f>
        <v>11128</v>
      </c>
      <c r="H17" s="199">
        <f>IF(Inputs!H29="","",Inputs!H29)</f>
        <v>8293</v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6.3396941205747723E-2</v>
      </c>
      <c r="D18" s="152">
        <f t="shared" si="6"/>
        <v>7.1813931128104011E-2</v>
      </c>
      <c r="E18" s="152">
        <f t="shared" si="6"/>
        <v>6.3088387547251587E-2</v>
      </c>
      <c r="F18" s="152">
        <f t="shared" si="6"/>
        <v>7.223795360407749E-2</v>
      </c>
      <c r="G18" s="152">
        <f t="shared" si="6"/>
        <v>6.6557727494280156E-2</v>
      </c>
      <c r="H18" s="152">
        <f t="shared" si="6"/>
        <v>5.6155790077993144E-2</v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166609</v>
      </c>
      <c r="D19" s="199">
        <f>IF(Inputs!D32="","",Inputs!D32)</f>
        <v>155953</v>
      </c>
      <c r="E19" s="199">
        <f>IF(Inputs!E32="","",Inputs!E32)</f>
        <v>146734</v>
      </c>
      <c r="F19" s="199">
        <f>IF(Inputs!F32="","",Inputs!F32)</f>
        <v>136713</v>
      </c>
      <c r="G19" s="199">
        <f>IF(Inputs!G32="","",Inputs!G32)</f>
        <v>123170</v>
      </c>
      <c r="H19" s="199">
        <f>IF(Inputs!H32="","",Inputs!H32)</f>
        <v>92730</v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1.6982308794918168E-2</v>
      </c>
      <c r="D20" s="152">
        <f t="shared" si="7"/>
        <v>3.9172491027460531E-2</v>
      </c>
      <c r="E20" s="152">
        <f t="shared" si="7"/>
        <v>7.5500204656538172E-2</v>
      </c>
      <c r="F20" s="152">
        <f t="shared" si="7"/>
        <v>6.2457431479543066E-2</v>
      </c>
      <c r="G20" s="152">
        <f t="shared" si="7"/>
        <v>0.10251954258516546</v>
      </c>
      <c r="H20" s="152">
        <f t="shared" si="7"/>
        <v>7.6969706879250824E-2</v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44630</v>
      </c>
      <c r="D21" s="199">
        <f>IF(Inputs!D33="","",Inputs!D33)</f>
        <v>85068</v>
      </c>
      <c r="E21" s="199">
        <f>IF(Inputs!E33="","",Inputs!E33)</f>
        <v>175602</v>
      </c>
      <c r="F21" s="199">
        <f>IF(Inputs!F33="","",Inputs!F33)</f>
        <v>118203</v>
      </c>
      <c r="G21" s="199">
        <f>IF(Inputs!G33="","",Inputs!G33)</f>
        <v>189720</v>
      </c>
      <c r="H21" s="199">
        <f>IF(Inputs!H33="","",Inputs!H33)</f>
        <v>127100</v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888830.33333333326</v>
      </c>
      <c r="D22" s="161">
        <f t="shared" ref="D22:M22" si="8">IF(D6="","",D14-MAX(D16,0)-MAX(D17,0)-ABS(MAX(D21,0)-MAX(D19,0)))</f>
        <v>694042</v>
      </c>
      <c r="E22" s="161">
        <f t="shared" si="8"/>
        <v>764886</v>
      </c>
      <c r="F22" s="161">
        <f t="shared" si="8"/>
        <v>665729</v>
      </c>
      <c r="G22" s="161">
        <f t="shared" si="8"/>
        <v>491878.33333333337</v>
      </c>
      <c r="H22" s="161">
        <f t="shared" si="8"/>
        <v>477905</v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0.2536588256826694</v>
      </c>
      <c r="D23" s="153">
        <f t="shared" si="9"/>
        <v>0.2396966604746858</v>
      </c>
      <c r="E23" s="153">
        <f t="shared" si="9"/>
        <v>0.2466474593352618</v>
      </c>
      <c r="F23" s="153">
        <f t="shared" si="9"/>
        <v>0.26382403620114164</v>
      </c>
      <c r="G23" s="153">
        <f t="shared" si="9"/>
        <v>0.19934828328940102</v>
      </c>
      <c r="H23" s="153">
        <f t="shared" si="9"/>
        <v>0.21705866109045061</v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666622.75</v>
      </c>
      <c r="D24" s="77">
        <f>IF(D6="","",D22*(1-Fin_Analysis!$I$84))</f>
        <v>520531.5</v>
      </c>
      <c r="E24" s="77">
        <f>IF(E6="","",E22*(1-Fin_Analysis!$I$84))</f>
        <v>573664.5</v>
      </c>
      <c r="F24" s="77">
        <f>IF(F6="","",F22*(1-Fin_Analysis!$I$84))</f>
        <v>499296.75</v>
      </c>
      <c r="G24" s="77">
        <f>IF(G6="","",G22*(1-Fin_Analysis!$I$84))</f>
        <v>368908.75</v>
      </c>
      <c r="H24" s="77">
        <f>IF(H6="","",H22*(1-Fin_Analysis!$I$84))</f>
        <v>358428.75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0.28065784683539807</v>
      </c>
      <c r="D25" s="233">
        <f t="shared" ref="D25:M25" si="10">IF(E24="","",IF(ABS(D24+E24)=ABS(D24)+ABS(E24),IF(D24&lt;0,-1,1)*(D24-E24)/E24,"Turn"))</f>
        <v>-9.2620338194188412E-2</v>
      </c>
      <c r="E25" s="233">
        <f t="shared" si="10"/>
        <v>0.14894499113002438</v>
      </c>
      <c r="F25" s="233">
        <f t="shared" si="10"/>
        <v>0.35344241631568785</v>
      </c>
      <c r="G25" s="233">
        <f t="shared" si="10"/>
        <v>2.9238725967155259E-2</v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8808828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4247879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170507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657708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1148286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881357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252707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31686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284393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6779185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709320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5787476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3021352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0.36878037823243809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0.33505756595532243</v>
      </c>
      <c r="D42" s="156">
        <f t="shared" si="34"/>
        <v>0.37040079645390134</v>
      </c>
      <c r="E42" s="156">
        <f t="shared" si="34"/>
        <v>0.37303985471105594</v>
      </c>
      <c r="F42" s="156">
        <f t="shared" si="34"/>
        <v>0.3510182363673735</v>
      </c>
      <c r="G42" s="156">
        <f t="shared" si="34"/>
        <v>0.37011057109848078</v>
      </c>
      <c r="H42" s="156">
        <f t="shared" si="34"/>
        <v>0.38965929247216891</v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0.14727310847787448</v>
      </c>
      <c r="D43" s="153">
        <f t="shared" si="35"/>
        <v>0.16242391645706949</v>
      </c>
      <c r="E43" s="153">
        <f t="shared" si="35"/>
        <v>0.16697694776270849</v>
      </c>
      <c r="F43" s="153">
        <f t="shared" si="35"/>
        <v>0.16178864666846671</v>
      </c>
      <c r="G43" s="153">
        <f t="shared" si="35"/>
        <v>0.16258739180384033</v>
      </c>
      <c r="H43" s="153">
        <f t="shared" si="35"/>
        <v>0.16612557749989554</v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3.6534604450711924E-2</v>
      </c>
      <c r="D44" s="153">
        <f t="shared" si="36"/>
        <v>1.9225686190900274E-2</v>
      </c>
      <c r="E44" s="153">
        <f t="shared" si="36"/>
        <v>1.8360185188370005E-2</v>
      </c>
      <c r="F44" s="153">
        <f t="shared" si="36"/>
        <v>2.3925027621652838E-2</v>
      </c>
      <c r="G44" s="153">
        <f t="shared" si="36"/>
        <v>4.6598514839179629E-2</v>
      </c>
      <c r="H44" s="153">
        <f t="shared" si="36"/>
        <v>2.6204824202037305E-2</v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2.8127543493622026E-3</v>
      </c>
      <c r="D45" s="153">
        <f t="shared" si="37"/>
        <v>2.3061061158781483E-3</v>
      </c>
      <c r="E45" s="153">
        <f t="shared" si="37"/>
        <v>3.115422847924714E-3</v>
      </c>
      <c r="F45" s="153">
        <f t="shared" si="37"/>
        <v>5.0329267010367565E-3</v>
      </c>
      <c r="G45" s="153">
        <f t="shared" si="37"/>
        <v>6.0132693964143015E-3</v>
      </c>
      <c r="H45" s="153">
        <f t="shared" si="37"/>
        <v>5.022106838313352E-3</v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9.3695566779006881E-2</v>
      </c>
      <c r="D46" s="153">
        <f t="shared" ref="D46:M46" si="38">IF(D6="","",MAX(D12,0)/D6)</f>
        <v>9.3406507382026188E-2</v>
      </c>
      <c r="E46" s="153">
        <f t="shared" si="38"/>
        <v>9.7232493266971878E-2</v>
      </c>
      <c r="F46" s="153">
        <f t="shared" si="38"/>
        <v>9.6689258915413537E-2</v>
      </c>
      <c r="G46" s="153">
        <f t="shared" si="38"/>
        <v>0.11293072671866494</v>
      </c>
      <c r="H46" s="153">
        <f t="shared" si="38"/>
        <v>0.10276273406572643</v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4.6414632410829562E-2</v>
      </c>
      <c r="D47" s="153">
        <f t="shared" ref="D47:M47" si="39">IF(D6="","",ABS(MAX(D21,0)-MAX(D19,0))/D6)</f>
        <v>3.264144010064348E-2</v>
      </c>
      <c r="E47" s="153">
        <f t="shared" si="39"/>
        <v>1.2411817109286591E-2</v>
      </c>
      <c r="F47" s="153">
        <f t="shared" si="39"/>
        <v>9.7805221245344208E-3</v>
      </c>
      <c r="G47" s="153">
        <f t="shared" si="39"/>
        <v>3.5961815090885314E-2</v>
      </c>
      <c r="H47" s="153">
        <f t="shared" si="39"/>
        <v>2.0813916801257677E-2</v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0.33821176757689253</v>
      </c>
      <c r="D48" s="153">
        <f t="shared" si="40"/>
        <v>0.31959554729958106</v>
      </c>
      <c r="E48" s="153">
        <f t="shared" si="40"/>
        <v>0.32886327911368241</v>
      </c>
      <c r="F48" s="153">
        <f t="shared" si="40"/>
        <v>0.35176538160152221</v>
      </c>
      <c r="G48" s="153">
        <f t="shared" si="40"/>
        <v>0.26579771105253469</v>
      </c>
      <c r="H48" s="153">
        <f t="shared" si="40"/>
        <v>0.28941154812060083</v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6.4880182068006095E-2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0.25026664469836518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>
        <f>IF(D6="","",C16/(C6-D6))</f>
        <v>0.21037109747306657</v>
      </c>
      <c r="D52" s="153">
        <f t="shared" ref="D52:M52" si="43">IF(E6="","",D16/(D6-E6))</f>
        <v>-0.27072013072064943</v>
      </c>
      <c r="E52" s="153">
        <f t="shared" si="43"/>
        <v>9.8550463754670428E-2</v>
      </c>
      <c r="F52" s="153">
        <f t="shared" si="43"/>
        <v>1.0790219955675238</v>
      </c>
      <c r="G52" s="153">
        <f t="shared" si="43"/>
        <v>0.43273867770668673</v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0.23041010677016285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3.1253593911711373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8.3165478525897892E-3</v>
      </c>
      <c r="D56" s="153">
        <f t="shared" si="46"/>
        <v>7.2157016434163928E-3</v>
      </c>
      <c r="E56" s="153">
        <f t="shared" si="46"/>
        <v>9.4733071333505912E-3</v>
      </c>
      <c r="F56" s="153">
        <f t="shared" si="46"/>
        <v>1.4307623672695646E-2</v>
      </c>
      <c r="G56" s="153">
        <f t="shared" si="46"/>
        <v>2.2623480738800581E-2</v>
      </c>
      <c r="H56" s="153">
        <f t="shared" si="46"/>
        <v>1.7352821167386824E-2</v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3.6993214234084539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6779185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6069865</v>
      </c>
      <c r="K3" s="24"/>
    </row>
    <row r="4" spans="1:11" ht="15" customHeight="1" x14ac:dyDescent="0.4">
      <c r="B4" s="3" t="s">
        <v>24</v>
      </c>
      <c r="C4" s="87"/>
      <c r="D4" s="65">
        <f>D3-I3</f>
        <v>709320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3.6993214234084539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974998.34702308744</v>
      </c>
      <c r="E6" s="56">
        <f>1-D6/D3</f>
        <v>0.85617764568704247</v>
      </c>
      <c r="F6" s="87"/>
      <c r="G6" s="87"/>
      <c r="H6" s="1" t="s">
        <v>29</v>
      </c>
      <c r="I6" s="63">
        <f>(C24+C25)/I28</f>
        <v>3.1265477415905099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0.44981199651282228</v>
      </c>
      <c r="E7" s="11" t="str">
        <f>Dashboard!H3</f>
        <v>HKD</v>
      </c>
      <c r="H7" s="1" t="s">
        <v>30</v>
      </c>
      <c r="I7" s="63">
        <f>C24/I28</f>
        <v>3.1137704369817274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2514410</v>
      </c>
      <c r="D11" s="198">
        <f>Inputs!D48</f>
        <v>0.9</v>
      </c>
      <c r="E11" s="88">
        <f t="shared" ref="E11:E22" si="0">C11*D11</f>
        <v>2262969</v>
      </c>
      <c r="F11" s="112"/>
      <c r="G11" s="87"/>
      <c r="H11" s="3" t="s">
        <v>38</v>
      </c>
      <c r="I11" s="40">
        <f>Inputs!C73</f>
        <v>200000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22844</v>
      </c>
      <c r="J12" s="87"/>
      <c r="K12" s="24"/>
    </row>
    <row r="13" spans="1:11" ht="13.9" x14ac:dyDescent="0.4">
      <c r="B13" s="3" t="s">
        <v>116</v>
      </c>
      <c r="C13" s="40">
        <f>Inputs!C50</f>
        <v>170507</v>
      </c>
      <c r="D13" s="198">
        <f>Inputs!D50</f>
        <v>0.6</v>
      </c>
      <c r="E13" s="88">
        <f t="shared" si="0"/>
        <v>102304.2</v>
      </c>
      <c r="F13" s="112"/>
      <c r="G13" s="87"/>
      <c r="H13" s="3" t="s">
        <v>40</v>
      </c>
      <c r="I13" s="40">
        <f>Inputs!C75</f>
        <v>29863</v>
      </c>
      <c r="J13" s="87"/>
      <c r="K13" s="26"/>
    </row>
    <row r="14" spans="1:11" ht="13.9" x14ac:dyDescent="0.4">
      <c r="B14" s="3" t="s">
        <v>41</v>
      </c>
      <c r="C14" s="40">
        <f>Inputs!C51</f>
        <v>890582</v>
      </c>
      <c r="D14" s="198">
        <f>Inputs!D51</f>
        <v>0.6</v>
      </c>
      <c r="E14" s="88">
        <f t="shared" si="0"/>
        <v>534349.19999999995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252707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14672</v>
      </c>
      <c r="D17" s="198">
        <f>Inputs!D54</f>
        <v>0.1</v>
      </c>
      <c r="E17" s="88">
        <f t="shared" si="0"/>
        <v>1467.2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657708</v>
      </c>
      <c r="D18" s="198">
        <f>Inputs!D55</f>
        <v>0.5</v>
      </c>
      <c r="E18" s="88">
        <f t="shared" si="0"/>
        <v>328854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895579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3575499</v>
      </c>
      <c r="D24" s="62">
        <f>IF(E24=0,0,E24/C24)</f>
        <v>0.81096999327925989</v>
      </c>
      <c r="E24" s="88">
        <f>SUM(E11:E14)</f>
        <v>2899622.4000000004</v>
      </c>
      <c r="F24" s="113">
        <f>E24/$E$28</f>
        <v>0.89773158887356419</v>
      </c>
      <c r="G24" s="87"/>
    </row>
    <row r="25" spans="2:10" ht="15" customHeight="1" x14ac:dyDescent="0.4">
      <c r="B25" s="23" t="s">
        <v>54</v>
      </c>
      <c r="C25" s="61">
        <f>SUM(C15:C17)</f>
        <v>14672</v>
      </c>
      <c r="D25" s="62">
        <f>IF(E25=0,0,E25/C25)</f>
        <v>0.1</v>
      </c>
      <c r="E25" s="88">
        <f>SUM(E15:E17)</f>
        <v>1467.2</v>
      </c>
      <c r="F25" s="113">
        <f>E25/$E$28</f>
        <v>4.54249417853612E-4</v>
      </c>
      <c r="G25" s="87"/>
      <c r="H25" s="23" t="s">
        <v>55</v>
      </c>
      <c r="I25" s="63">
        <f>E28/I28</f>
        <v>2.8128389617220804</v>
      </c>
    </row>
    <row r="26" spans="2:10" ht="15" customHeight="1" x14ac:dyDescent="0.4">
      <c r="B26" s="23" t="s">
        <v>56</v>
      </c>
      <c r="C26" s="61">
        <f>C18+C19+C20</f>
        <v>657708</v>
      </c>
      <c r="D26" s="62">
        <f>IF(E26=0,0,E26/C26)</f>
        <v>0.5</v>
      </c>
      <c r="E26" s="88">
        <f>E18+E19+E20</f>
        <v>328854</v>
      </c>
      <c r="F26" s="113">
        <f>E26/$E$28</f>
        <v>0.10181416170858214</v>
      </c>
      <c r="G26" s="87"/>
      <c r="H26" s="23" t="s">
        <v>57</v>
      </c>
      <c r="I26" s="63">
        <f>E24/($I$28-I22)</f>
        <v>11.474246459338287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2.5264521208131079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4247879</v>
      </c>
      <c r="D28" s="57">
        <f>E28/C28</f>
        <v>0.76036619687142704</v>
      </c>
      <c r="E28" s="70">
        <f>SUM(E24:E27)</f>
        <v>3229943.6000000006</v>
      </c>
      <c r="F28" s="112"/>
      <c r="G28" s="87"/>
      <c r="H28" s="78" t="s">
        <v>15</v>
      </c>
      <c r="I28" s="206">
        <f>Inputs!C77</f>
        <v>1148286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297248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31686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21963</v>
      </c>
      <c r="D34" s="198">
        <f>Inputs!D64</f>
        <v>0.4</v>
      </c>
      <c r="E34" s="88">
        <f t="shared" si="1"/>
        <v>8785.2000000000007</v>
      </c>
      <c r="F34" s="112"/>
      <c r="G34" s="87"/>
      <c r="H34" s="1" t="s">
        <v>77</v>
      </c>
      <c r="I34" s="84">
        <f>SUM(I30:I33)</f>
        <v>31686</v>
      </c>
      <c r="J34" s="87"/>
    </row>
    <row r="35" spans="2:10" ht="13.9" x14ac:dyDescent="0.4">
      <c r="B35" s="3" t="s">
        <v>69</v>
      </c>
      <c r="C35" s="40">
        <f>Inputs!C65</f>
        <v>47523</v>
      </c>
      <c r="D35" s="198">
        <f>Inputs!D65</f>
        <v>0.1</v>
      </c>
      <c r="E35" s="88">
        <f t="shared" si="1"/>
        <v>4752.3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2037713</v>
      </c>
      <c r="D36" s="198">
        <f>Inputs!D66</f>
        <v>0.2</v>
      </c>
      <c r="E36" s="88">
        <f t="shared" si="1"/>
        <v>407542.60000000003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646300</v>
      </c>
      <c r="D38" s="198">
        <f>Inputs!D68</f>
        <v>0.1</v>
      </c>
      <c r="E38" s="88">
        <f t="shared" si="1"/>
        <v>64630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306381</v>
      </c>
      <c r="D40" s="198">
        <f>Inputs!D70</f>
        <v>0.05</v>
      </c>
      <c r="E40" s="88">
        <f t="shared" si="1"/>
        <v>15319.050000000001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99594</v>
      </c>
      <c r="D41" s="198">
        <f>Inputs!D71</f>
        <v>0.9</v>
      </c>
      <c r="E41" s="88">
        <f t="shared" si="1"/>
        <v>89634.6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1104227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849671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297248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69486</v>
      </c>
      <c r="D45" s="62">
        <f>IF(E45=0,0,E45/C45)</f>
        <v>0.19482341766686814</v>
      </c>
      <c r="E45" s="88">
        <f>SUM(E32:E35)</f>
        <v>13537.5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2684013</v>
      </c>
      <c r="D46" s="62">
        <f>IF(E46=0,0,E46/C46)</f>
        <v>0.17592038488636233</v>
      </c>
      <c r="E46" s="88">
        <f>E36+E37+E38+E39</f>
        <v>472172.60000000003</v>
      </c>
      <c r="F46" s="87"/>
      <c r="G46" s="87"/>
      <c r="H46" s="23" t="s">
        <v>80</v>
      </c>
      <c r="I46" s="63">
        <f>(E44+E24)/E64</f>
        <v>10.195829011262585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1510202</v>
      </c>
      <c r="D47" s="62">
        <f>IF(E47=0,0,E47/C47)</f>
        <v>6.949643160318951E-2</v>
      </c>
      <c r="E47" s="88">
        <f>E40+E41+E42</f>
        <v>104953.65000000001</v>
      </c>
      <c r="F47" s="87"/>
      <c r="G47" s="87"/>
      <c r="H47" s="23" t="s">
        <v>82</v>
      </c>
      <c r="I47" s="63">
        <f>(E44+E45+E24+E25)/$I$49</f>
        <v>1.4360294396600783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4560949</v>
      </c>
      <c r="D48" s="82">
        <f>E48/C48</f>
        <v>0.12950457240368177</v>
      </c>
      <c r="E48" s="76">
        <f>SUM(E30:E42)</f>
        <v>590663.75</v>
      </c>
      <c r="F48" s="87"/>
      <c r="G48" s="87"/>
      <c r="H48" s="80" t="s">
        <v>84</v>
      </c>
      <c r="I48" s="207">
        <f>Inputs!C82</f>
        <v>881357</v>
      </c>
      <c r="J48" s="8"/>
    </row>
    <row r="49" spans="2:11" ht="15" customHeight="1" thickTop="1" x14ac:dyDescent="0.4">
      <c r="B49" s="3" t="s">
        <v>13</v>
      </c>
      <c r="C49" s="61">
        <f>C28+C48</f>
        <v>8808828</v>
      </c>
      <c r="D49" s="56">
        <f>E49/C49</f>
        <v>0.43372482128155987</v>
      </c>
      <c r="E49" s="88">
        <f>E28+E48</f>
        <v>3820607.3500000006</v>
      </c>
      <c r="F49" s="87"/>
      <c r="G49" s="87"/>
      <c r="H49" s="3" t="s">
        <v>85</v>
      </c>
      <c r="I49" s="52">
        <f>I28+I48</f>
        <v>2029643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709320</v>
      </c>
      <c r="D53" s="29">
        <f>IF(E53=0, 0,E53/C53)</f>
        <v>1.2405865985354356</v>
      </c>
      <c r="E53" s="88">
        <f>IF(C53=0,0,MAX(C53,C53*Dashboard!G23))</f>
        <v>879972.88607315521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284393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2975818</v>
      </c>
      <c r="D61" s="56">
        <f t="shared" ref="D61:D70" si="2">IF(E61=0,0,E61/C61)</f>
        <v>0.31811222998180672</v>
      </c>
      <c r="E61" s="52">
        <f>E14+E15+(E19*G19)+(E20*G20)+E31+E32+(E35*G35)+(E36*G36)+(E37*G37)</f>
        <v>946644.10000000009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2811658</v>
      </c>
      <c r="D62" s="107">
        <f t="shared" si="2"/>
        <v>0.80485215484955852</v>
      </c>
      <c r="E62" s="118">
        <f>E11+E30</f>
        <v>2262969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5787476</v>
      </c>
      <c r="D63" s="29">
        <f t="shared" si="2"/>
        <v>0.55457907730416511</v>
      </c>
      <c r="E63" s="61">
        <f>E61+E62</f>
        <v>3209613.1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284393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5503083</v>
      </c>
      <c r="D65" s="29">
        <f t="shared" si="2"/>
        <v>0.53156023632571048</v>
      </c>
      <c r="E65" s="61">
        <f>E63-E64</f>
        <v>2925220.1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3021352</v>
      </c>
      <c r="D68" s="29">
        <f t="shared" si="2"/>
        <v>0.20222544410581769</v>
      </c>
      <c r="E68" s="68">
        <f>E49-E63</f>
        <v>610994.25000000047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1745250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1276102</v>
      </c>
      <c r="D70" s="29">
        <f t="shared" si="2"/>
        <v>-0.88884411277468378</v>
      </c>
      <c r="E70" s="68">
        <f>E68-E69</f>
        <v>-1134255.7499999995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2628029</v>
      </c>
      <c r="D74" s="209"/>
      <c r="E74" s="238">
        <f>Inputs!E91</f>
        <v>2628029</v>
      </c>
      <c r="F74" s="209"/>
      <c r="H74" s="238">
        <f>Inputs!F91</f>
        <v>2628029</v>
      </c>
      <c r="I74" s="209"/>
      <c r="K74" s="24"/>
    </row>
    <row r="75" spans="1:11" ht="15" customHeight="1" x14ac:dyDescent="0.4">
      <c r="B75" s="104" t="s">
        <v>105</v>
      </c>
      <c r="C75" s="77">
        <f>Data!C8</f>
        <v>880541</v>
      </c>
      <c r="D75" s="159">
        <f>C75/$C$74</f>
        <v>0.33505756595532243</v>
      </c>
      <c r="E75" s="238">
        <f>Inputs!E92</f>
        <v>880541.00000000012</v>
      </c>
      <c r="F75" s="160">
        <f>E75/E74</f>
        <v>0.33505756595532243</v>
      </c>
      <c r="H75" s="238">
        <f>Inputs!F92</f>
        <v>880541.00000000012</v>
      </c>
      <c r="I75" s="160">
        <f>H75/$H$74</f>
        <v>0.33505756595532243</v>
      </c>
      <c r="K75" s="24"/>
    </row>
    <row r="76" spans="1:11" ht="15" customHeight="1" x14ac:dyDescent="0.4">
      <c r="B76" s="35" t="s">
        <v>95</v>
      </c>
      <c r="C76" s="161">
        <f>C74-C75</f>
        <v>1747488</v>
      </c>
      <c r="D76" s="210"/>
      <c r="E76" s="162">
        <f>E74-E75</f>
        <v>1747488</v>
      </c>
      <c r="F76" s="210"/>
      <c r="H76" s="162">
        <f>H74-H75</f>
        <v>1747488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387038</v>
      </c>
      <c r="D77" s="159">
        <f>C77/$C$74</f>
        <v>0.14727310847787448</v>
      </c>
      <c r="E77" s="238">
        <f>Inputs!E93</f>
        <v>387038</v>
      </c>
      <c r="F77" s="160">
        <f>E77/E74</f>
        <v>0.14727310847787448</v>
      </c>
      <c r="H77" s="238">
        <f>Inputs!F93</f>
        <v>387038</v>
      </c>
      <c r="I77" s="160">
        <f>H77/$H$74</f>
        <v>0.14727310847787448</v>
      </c>
      <c r="K77" s="24"/>
    </row>
    <row r="78" spans="1:11" ht="15" customHeight="1" x14ac:dyDescent="0.4">
      <c r="B78" s="73" t="s">
        <v>172</v>
      </c>
      <c r="C78" s="77">
        <f>MAX(Data!C12,0)</f>
        <v>246234.66666666666</v>
      </c>
      <c r="D78" s="159">
        <f>C78/$C$74</f>
        <v>9.3695566779006881E-2</v>
      </c>
      <c r="E78" s="180">
        <f>E74*F78</f>
        <v>246234.66666666669</v>
      </c>
      <c r="F78" s="160">
        <f>I78</f>
        <v>9.3695566779006881E-2</v>
      </c>
      <c r="H78" s="238">
        <f>Inputs!F97</f>
        <v>246234.66666666669</v>
      </c>
      <c r="I78" s="160">
        <f>H78/$H$74</f>
        <v>9.3695566779006881E-2</v>
      </c>
      <c r="K78" s="24"/>
    </row>
    <row r="79" spans="1:11" ht="15" customHeight="1" x14ac:dyDescent="0.4">
      <c r="B79" s="256" t="s">
        <v>232</v>
      </c>
      <c r="C79" s="257">
        <f>C76-C77-C78</f>
        <v>1114215.3333333333</v>
      </c>
      <c r="D79" s="258">
        <f>C79/C74</f>
        <v>0.4239737587877962</v>
      </c>
      <c r="E79" s="259">
        <f>E76-E77-E78</f>
        <v>1114215.3333333333</v>
      </c>
      <c r="F79" s="258">
        <f>E79/E74</f>
        <v>0.4239737587877962</v>
      </c>
      <c r="G79" s="260"/>
      <c r="H79" s="259">
        <f>H76-H77-H78</f>
        <v>1114215.3333333333</v>
      </c>
      <c r="I79" s="258">
        <f>H79/H74</f>
        <v>0.4239737587877962</v>
      </c>
      <c r="K79" s="24"/>
    </row>
    <row r="80" spans="1:11" ht="15" customHeight="1" x14ac:dyDescent="0.4">
      <c r="B80" s="28" t="s">
        <v>109</v>
      </c>
      <c r="C80" s="77">
        <f>MAX(Data!C16,0)</f>
        <v>96014</v>
      </c>
      <c r="D80" s="159">
        <f>C80/$C$74</f>
        <v>3.6534604450711924E-2</v>
      </c>
      <c r="E80" s="180">
        <f>E74*F80</f>
        <v>96014.000000000015</v>
      </c>
      <c r="F80" s="160">
        <f>I80</f>
        <v>3.6534604450711924E-2</v>
      </c>
      <c r="H80" s="238">
        <f>Inputs!F96</f>
        <v>96014.000000000015</v>
      </c>
      <c r="I80" s="160">
        <f>H80/$H$74</f>
        <v>3.6534604450711924E-2</v>
      </c>
      <c r="K80" s="181" t="s">
        <v>131</v>
      </c>
    </row>
    <row r="81" spans="1:11" ht="15" customHeight="1" x14ac:dyDescent="0.4">
      <c r="B81" s="104" t="s">
        <v>256</v>
      </c>
      <c r="C81" s="77">
        <f>MAX(Data!C17,0)</f>
        <v>7392</v>
      </c>
      <c r="D81" s="159">
        <f>C81/$C$74</f>
        <v>2.8127543493622026E-3</v>
      </c>
      <c r="E81" s="180">
        <f>E74*F81</f>
        <v>7392</v>
      </c>
      <c r="F81" s="160">
        <f>I81</f>
        <v>2.8127543493622026E-3</v>
      </c>
      <c r="H81" s="238">
        <f>Inputs!F94</f>
        <v>7392</v>
      </c>
      <c r="I81" s="160">
        <f>H81/$H$74</f>
        <v>2.8127543493622026E-3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121979</v>
      </c>
      <c r="D82" s="159">
        <f>C82/$C$74</f>
        <v>4.6414632410829562E-2</v>
      </c>
      <c r="E82" s="238">
        <f>Inputs!E95</f>
        <v>52560.58</v>
      </c>
      <c r="F82" s="160">
        <f>E82/E74</f>
        <v>0.02</v>
      </c>
      <c r="H82" s="238">
        <f>Inputs!F95</f>
        <v>26280.29</v>
      </c>
      <c r="I82" s="160">
        <f>H82/$H$74</f>
        <v>0.01</v>
      </c>
      <c r="K82" s="24"/>
    </row>
    <row r="83" spans="1:11" ht="15" customHeight="1" thickBot="1" x14ac:dyDescent="0.45">
      <c r="B83" s="105" t="s">
        <v>125</v>
      </c>
      <c r="C83" s="163">
        <f>C79-C81-C82-C80</f>
        <v>888830.33333333326</v>
      </c>
      <c r="D83" s="164">
        <f>C83/$C$74</f>
        <v>0.33821176757689253</v>
      </c>
      <c r="E83" s="165">
        <f>E79-E81-E82-E80</f>
        <v>958248.75333333318</v>
      </c>
      <c r="F83" s="164">
        <f>E83/E74</f>
        <v>0.36462639998772206</v>
      </c>
      <c r="H83" s="165">
        <f>H79-H81-H82-H80</f>
        <v>984529.04333333322</v>
      </c>
      <c r="I83" s="164">
        <f>H83/$H$74</f>
        <v>0.37462639998772207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666622.75</v>
      </c>
      <c r="D85" s="258">
        <f>C85/$C$74</f>
        <v>0.2536588256826694</v>
      </c>
      <c r="E85" s="264">
        <f>E83*(1-F84)</f>
        <v>718686.56499999994</v>
      </c>
      <c r="F85" s="258">
        <f>E85/E74</f>
        <v>0.27346979999079157</v>
      </c>
      <c r="G85" s="260"/>
      <c r="H85" s="264">
        <f>H83*(1-I84)</f>
        <v>738396.78249999997</v>
      </c>
      <c r="I85" s="258">
        <f>H85/$H$74</f>
        <v>0.28096979999079158</v>
      </c>
      <c r="K85" s="24"/>
    </row>
    <row r="86" spans="1:11" ht="15" customHeight="1" x14ac:dyDescent="0.4">
      <c r="B86" s="87" t="s">
        <v>160</v>
      </c>
      <c r="C86" s="167">
        <f>C85*Data!C4/Common_Shares</f>
        <v>0.28735430873999096</v>
      </c>
      <c r="D86" s="209"/>
      <c r="E86" s="168">
        <f>E85*Data!C4/Common_Shares</f>
        <v>0.30979692950217136</v>
      </c>
      <c r="F86" s="209"/>
      <c r="H86" s="168">
        <f>H85*Data!C4/Common_Shares</f>
        <v>0.31829321308209324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7.9263922405902937E-2</v>
      </c>
      <c r="D87" s="209"/>
      <c r="E87" s="262">
        <f>E86*Exchange_Rate/Dashboard!G3</f>
        <v>8.545450349890539E-2</v>
      </c>
      <c r="F87" s="209"/>
      <c r="H87" s="262">
        <f>H86*Exchange_Rate/Dashboard!G3</f>
        <v>8.77981216105337E-2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0.37309999999999999</v>
      </c>
      <c r="D88" s="166">
        <f>C88/C86</f>
        <v>1.2983970960310012</v>
      </c>
      <c r="E88" s="170">
        <f>Inputs!E98</f>
        <v>0.15920000000000001</v>
      </c>
      <c r="F88" s="166">
        <f>E88/E86</f>
        <v>0.51388501576121715</v>
      </c>
      <c r="H88" s="170">
        <f>Inputs!F98</f>
        <v>0.15920000000000001</v>
      </c>
      <c r="I88" s="166">
        <f>H88/H86</f>
        <v>0.50016774928512098</v>
      </c>
      <c r="K88" s="24"/>
    </row>
    <row r="89" spans="1:11" ht="15" customHeight="1" x14ac:dyDescent="0.4">
      <c r="B89" s="87" t="s">
        <v>221</v>
      </c>
      <c r="C89" s="261">
        <f>C88*Exchange_Rate/Dashboard!G3</f>
        <v>0.10291604667185099</v>
      </c>
      <c r="D89" s="209"/>
      <c r="E89" s="261">
        <f>E88*Exchange_Rate/Dashboard!G3</f>
        <v>4.3913788877401987E-2</v>
      </c>
      <c r="F89" s="209"/>
      <c r="H89" s="261">
        <f>H88*Exchange_Rate/Dashboard!G3</f>
        <v>4.3913788877401987E-2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8.2578964056683901</v>
      </c>
      <c r="H93" s="87" t="s">
        <v>209</v>
      </c>
      <c r="I93" s="144">
        <f>FV(H87,D93,0,-(H86/(C93-D94)))*Exchange_Rate</f>
        <v>8.5763618878997043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3.491406621876644</v>
      </c>
      <c r="H94" s="87" t="s">
        <v>210</v>
      </c>
      <c r="I94" s="144">
        <f>FV(H89,D93,0,-(H88/(C93-D94)))*Exchange_Rate</f>
        <v>3.491406621876644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9891822.4774899147</v>
      </c>
      <c r="D97" s="213"/>
      <c r="E97" s="123">
        <f>PV(C94,D93,0,-F93)</f>
        <v>4.1056339754016928</v>
      </c>
      <c r="F97" s="213"/>
      <c r="H97" s="123">
        <f>PV(C94,D93,0,-I93)</f>
        <v>4.2639676041626533</v>
      </c>
      <c r="I97" s="123">
        <f>PV(C93,D93,0,-I93)</f>
        <v>5.8234351312478996</v>
      </c>
      <c r="K97" s="24"/>
    </row>
    <row r="98" spans="2:11" ht="15" customHeight="1" x14ac:dyDescent="0.4">
      <c r="B98" s="28" t="s">
        <v>144</v>
      </c>
      <c r="C98" s="91">
        <f>-E53*Exchange_Rate</f>
        <v>-941800.38268213568</v>
      </c>
      <c r="D98" s="213"/>
      <c r="E98" s="213"/>
      <c r="F98" s="213"/>
      <c r="H98" s="123">
        <f>C98*Data!$C$4/Common_Shares</f>
        <v>-0.40597234033294555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1916798.7297052231</v>
      </c>
      <c r="D99" s="214"/>
      <c r="E99" s="145">
        <f>IF(H99&gt;0,H99*(1-C94),H99*(1+C94))</f>
        <v>0.70231674192474924</v>
      </c>
      <c r="F99" s="214"/>
      <c r="H99" s="145">
        <f>C99*Data!$C$4/Common_Shares</f>
        <v>0.82625499049970497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10866820.824513003</v>
      </c>
      <c r="D100" s="109">
        <f>MIN(F100*(1-C94),E100)</f>
        <v>3.8616471683122371</v>
      </c>
      <c r="E100" s="109">
        <f>MAX(E97+H98+E99,0)</f>
        <v>4.4019783769934966</v>
      </c>
      <c r="F100" s="109">
        <f>(E100+H100)/2</f>
        <v>4.5431143156614553</v>
      </c>
      <c r="H100" s="109">
        <f>MAX(C100*Data!$C$4/Common_Shares,0)</f>
        <v>4.6842502543294131</v>
      </c>
      <c r="I100" s="109">
        <f>MAX(I97+H98+H99,0)</f>
        <v>6.2437177814146594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4026925.980008319</v>
      </c>
      <c r="D103" s="109">
        <f>MIN(F103*(1-C94),E103)</f>
        <v>1.4754692239839415</v>
      </c>
      <c r="E103" s="123">
        <f>PV(C94,D93,0,-F94)</f>
        <v>1.7358461458634606</v>
      </c>
      <c r="F103" s="109">
        <f>(E103+H103)/2</f>
        <v>1.7358461458634606</v>
      </c>
      <c r="H103" s="123">
        <f>PV(C94,D93,0,-I94)</f>
        <v>1.7358461458634606</v>
      </c>
      <c r="I103" s="109">
        <f>PV(C93,D93,0,-I94)</f>
        <v>2.3706998661045509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7119457.3006152287</v>
      </c>
      <c r="D106" s="109">
        <f>(D100+D103)/2</f>
        <v>2.6685581961480893</v>
      </c>
      <c r="E106" s="123">
        <f>(E100+E103)/2</f>
        <v>3.0689122614284785</v>
      </c>
      <c r="F106" s="109">
        <f>(F100+F103)/2</f>
        <v>3.1394802307624579</v>
      </c>
      <c r="H106" s="123">
        <f>(H100+H103)/2</f>
        <v>3.2100482000964368</v>
      </c>
      <c r="I106" s="123">
        <f>(I100+I103)/2</f>
        <v>4.3072088237596056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2024-12-13T02:51:50Z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