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7DF6805-9FAB-427A-9953-F53CA42FE0E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16" i="4"/>
  <c r="M52" i="2"/>
  <c r="F97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I52" i="2"/>
  <c r="H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/>
  <c r="C29" i="1" l="1"/>
  <c r="D106" i="3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<sst xmlns="http://schemas.openxmlformats.org/spreadsheetml/2006/main" count="391" uniqueCount="273">
  <si>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</si>
  <si>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</si>
  <si>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</si>
  <si>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</si>
  <si>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</si>
  <si>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</si>
  <si>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</si>
  <si>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</si>
  <si>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</si>
  <si>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</si>
  <si>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</si>
  <si>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</si>
  <si>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</si>
  <si>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</si>
  <si>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</si>
  <si>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</si>
  <si>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</si>
  <si>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</si>
  <si>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</si>
  <si>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</si>
  <si>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</si>
  <si>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</si>
  <si>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</si>
  <si>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</si>
  <si>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</si>
  <si>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</si>
  <si>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</si>
  <si>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</si>
  <si>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</si>
  <si>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</si>
  <si>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</si>
  <si>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</si>
  <si>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</si>
  <si>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</si>
  <si>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</si>
  <si>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</si>
  <si>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</si>
  <si>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</si>
  <si>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</si>
  <si>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</si>
  <si>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</si>
  <si>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</si>
  <si>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</si>
  <si>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</si>
  <si>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</si>
  <si>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</si>
  <si>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</si>
  <si>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</si>
  <si>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</si>
  <si>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</si>
  <si>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</si>
  <si>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</si>
  <si>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</si>
  <si>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</si>
  <si>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</si>
  <si>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</si>
  <si>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</si>
  <si>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</si>
  <si>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</si>
  <si>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</si>
  <si>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</si>
  <si>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</si>
  <si>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</si>
  <si>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</si>
  <si>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</si>
  <si>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</si>
  <si>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</si>
  <si>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</si>
  <si>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</si>
  <si>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</si>
  <si>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</si>
  <si>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</si>
  <si>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</si>
  <si>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</si>
  <si>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</si>
  <si>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</si>
  <si>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</si>
  <si>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</si>
  <si>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</si>
  <si>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</si>
  <si>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</si>
  <si>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</si>
  <si>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</si>
  <si>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</si>
  <si>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</si>
  <si>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</si>
  <si>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</si>
  <si>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</si>
  <si>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</si>
  <si>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</si>
  <si>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</si>
  <si>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</si>
  <si>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</si>
  <si>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</si>
  <si>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</si>
  <si>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</si>
  <si>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</si>
  <si>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</si>
  <si>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</si>
  <si>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</si>
  <si>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</si>
  <si>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</si>
  <si>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</si>
  <si>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</si>
  <si>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</si>
  <si>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</si>
  <si>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</si>
  <si>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</si>
  <si>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</si>
  <si>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</si>
  <si>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</si>
  <si>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</si>
  <si>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</si>
  <si>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</si>
  <si>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</si>
  <si>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</si>
  <si>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</si>
  <si>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</si>
  <si>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</si>
  <si>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</si>
  <si>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</si>
  <si>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</si>
  <si>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</si>
  <si>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</si>
  <si>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</si>
  <si>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</si>
  <si>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</si>
  <si>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</si>
  <si>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</si>
  <si>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</si>
  <si>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</si>
  <si>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</si>
  <si>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</si>
  <si>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</si>
  <si>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</si>
  <si>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</si>
  <si>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</si>
  <si>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</si>
  <si>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</si>
  <si>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</si>
  <si>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</si>
  <si>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</si>
  <si>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</si>
  <si>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</si>
  <si>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</si>
  <si>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</si>
  <si>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</si>
  <si>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</si>
  <si>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</si>
  <si>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</si>
  <si>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</si>
  <si>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</si>
  <si>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</si>
  <si>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</si>
  <si>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</si>
  <si>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</si>
  <si>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</si>
  <si>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</si>
  <si>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</si>
  <si>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</si>
  <si>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</si>
  <si>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</si>
  <si>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</si>
  <si>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</si>
  <si>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</si>
  <si>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</si>
  <si>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</si>
  <si>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</si>
  <si>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</si>
  <si>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</si>
  <si>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</si>
  <si>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</si>
  <si>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</si>
  <si>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</si>
  <si>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</si>
  <si>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</si>
  <si>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</si>
  <si>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</si>
  <si>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</si>
  <si>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</si>
  <si>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</si>
  <si>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</si>
  <si>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</si>
  <si>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</si>
  <si>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</si>
  <si>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</si>
  <si>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</si>
  <si>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</si>
  <si>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</si>
  <si>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</si>
  <si>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</si>
  <si>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</si>
  <si>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</si>
  <si>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</si>
  <si>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</si>
  <si>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</si>
  <si>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</si>
  <si>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</si>
  <si>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</si>
  <si>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</si>
  <si>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</si>
  <si>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</si>
  <si>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</si>
  <si>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</si>
  <si>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</si>
  <si>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</si>
  <si>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</si>
  <si>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</si>
  <si>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</si>
  <si>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</si>
  <si>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</si>
  <si>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</si>
  <si>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</si>
  <si>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</si>
  <si>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</si>
  <si>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</si>
  <si>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</si>
  <si>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</si>
  <si>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</si>
  <si>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</si>
  <si>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</si>
  <si>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</si>
  <si>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</si>
  <si>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</si>
  <si>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</si>
  <si>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</si>
  <si>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</si>
  <si>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</si>
  <si>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</si>
  <si>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</si>
  <si>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</si>
  <si>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</si>
  <si>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</si>
  <si>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</si>
  <si>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</si>
  <si>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</si>
  <si>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</si>
  <si>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</si>
  <si>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</si>
  <si>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</si>
  <si>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</si>
  <si>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</si>
  <si>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</si>
  <si>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</si>
  <si>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</si>
  <si>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</si>
  <si>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</si>
  <si>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</si>
  <si>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</si>
  <si>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</si>
  <si>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</si>
  <si>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</si>
  <si>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</si>
  <si>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</si>
  <si>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</si>
  <si>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</si>
  <si>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</si>
  <si>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</si>
  <si>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</si>
  <si>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</si>
  <si>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</si>
  <si>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</si>
  <si>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</si>
  <si>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</si>
  <si>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</si>
  <si>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1475.HK</t>
  </si>
  <si>
    <t>NISSIN FOODS</t>
  </si>
  <si>
    <t xml:space="preserve">Superior Cycl. </t>
  </si>
  <si>
    <t>C0002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</si>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</sst>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9.8097105597332122E-4</c:v>
                </c:pt>
                <c:pt idx="3">
                  <c:v>0</c:v>
                </c:pt>
                <c:pt idx="4">
                  <c:v>7.0437342852983705E-5</c:v>
                </c:pt>
                <c:pt idx="5">
                  <c:v>0</c:v>
                </c:pt>
                <c:pt idx="6">
                  <c:v>0.12243307999388223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265</v>
      </c>
    </row>
    <row r="5" spans="1:5" ht="13.9" x14ac:dyDescent="0.4">
      <c r="B5" s="141" t="s">
        <v>196</v>
      </c>
      <c r="C5" s="191" t="s">
        <v>266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267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261</v>
      </c>
    </row>
    <row r="16" spans="1:5" ht="13.9" x14ac:dyDescent="0.4">
      <c r="B16" s="222" t="s">
        <v>97</v>
      </c>
      <c r="C16" s="223">
        <f>(16.5%+25%)/2</f>
        <v>0.20750000000000002</v>
      </c>
      <c r="D16" s="24"/>
    </row>
    <row r="17" spans="2:13" ht="13.9" x14ac:dyDescent="0.4">
      <c r="B17" s="240" t="s">
        <v>225</v>
      </c>
      <c r="C17" s="242" t="s">
        <v>269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270</v>
      </c>
      <c r="D19" s="24"/>
    </row>
    <row r="20" spans="2:13" ht="13.9" x14ac:dyDescent="0.4">
      <c r="B20" s="241" t="s">
        <v>229</v>
      </c>
      <c r="C20" s="242" t="s">
        <v>270</v>
      </c>
      <c r="D20" s="24"/>
    </row>
    <row r="21" spans="2:13" ht="13.9" x14ac:dyDescent="0.4">
      <c r="B21" s="224" t="s">
        <v>232</v>
      </c>
      <c r="C21" s="242" t="s">
        <v>269</v>
      </c>
      <c r="D21" s="24"/>
    </row>
    <row r="22" spans="2:13" ht="78.75" x14ac:dyDescent="0.4">
      <c r="B22" s="226" t="s">
        <v>231</v>
      </c>
      <c r="C22" s="243" t="s">
        <v>271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2.9080882352941175E-2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E91*0.01</f>
        <v>38331.94</v>
      </c>
      <c r="F95" s="252">
        <f>F91*0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3760.2523659305994</v>
      </c>
      <c r="D97" s="159">
        <f>C97/C91</f>
        <v>9.8097105597332122E-4</v>
      </c>
      <c r="E97" s="253"/>
      <c r="F97" s="252">
        <f>F91*D97</f>
        <v>3760.2523659305989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5.44</v>
      </c>
      <c r="H3" s="134" t="s">
        <v>272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5677.6816512000005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9.8097105597332122E-4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1.5486878379454705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15.265540730567524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0.44393539403966586</v>
      </c>
    </row>
    <row r="26" spans="1:8" ht="15.75" customHeight="1" x14ac:dyDescent="0.4">
      <c r="B26" s="138" t="s">
        <v>174</v>
      </c>
      <c r="C26" s="171">
        <f>Fin_Analysis!I83</f>
        <v>0.12243307999388223</v>
      </c>
      <c r="F26" s="141" t="s">
        <v>194</v>
      </c>
      <c r="G26" s="178">
        <f>Fin_Analysis!H88*Exchange_Rate/G3</f>
        <v>2.9080882352941175E-2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4.0630010280922617</v>
      </c>
      <c r="D29" s="129">
        <f>G29*(1+G20)</f>
        <v>7.5268183270707398</v>
      </c>
      <c r="E29" s="87"/>
      <c r="F29" s="131">
        <f>IF(Fin_Analysis!C108="Profit",Fin_Analysis!F100,IF(Fin_Analysis!C108="Dividend",Fin_Analysis!F103,Fin_Analysis!F106))</f>
        <v>4.7800012095203082</v>
      </c>
      <c r="G29" s="274">
        <f>IF(Fin_Analysis!C108="Profit",Fin_Analysis!I100,IF(Fin_Analysis!C108="Dividend",Fin_Analysis!I103,Fin_Analysis!I106))</f>
        <v>6.5450594148441219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253090.17350157729</v>
      </c>
      <c r="G3" s="85">
        <f>C14</f>
        <v>469579.74763406941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0.10850846122502222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3760.2523659305994</v>
      </c>
      <c r="D12" s="199">
        <f>IF(Inputs!D30="","",MAX(Inputs!D30,0)/(1-Fin_Analysis!$I$84))</f>
        <v>38025.236593059941</v>
      </c>
      <c r="E12" s="199">
        <f>IF(Inputs!E30="","",MAX(Inputs!E30,0)/(1-Fin_Analysis!$I$84))</f>
        <v>44686.435331230285</v>
      </c>
      <c r="F12" s="199">
        <f>IF(Inputs!F30="","",MAX(Inputs!F30,0)/(1-Fin_Analysis!$I$84))</f>
        <v>38677.602523659305</v>
      </c>
      <c r="G12" s="199">
        <f>IF(Inputs!G30="","",MAX(Inputs!G30,0)/(1-Fin_Analysis!$I$84))</f>
        <v>35273.186119873819</v>
      </c>
      <c r="H12" s="199">
        <f>IF(Inputs!H30="","",MAX(Inputs!H30,0)/(1-Fin_Analysis!$I$84))</f>
        <v>31714.826498422713</v>
      </c>
      <c r="I12" s="199">
        <f>IF(Inputs!I30="","",MAX(Inputs!I30,0)/(1-Fin_Analysis!$I$84))</f>
        <v>31668.13880126183</v>
      </c>
      <c r="J12" s="199">
        <f>IF(Inputs!J30="","",MAX(Inputs!J30,0)/(1-Fin_Analysis!$I$84))</f>
        <v>20681.388012618296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0.12250351733673522</v>
      </c>
      <c r="D13" s="229">
        <f t="shared" si="3"/>
        <v>0.10374104375778445</v>
      </c>
      <c r="E13" s="229">
        <f t="shared" si="3"/>
        <v>0.10676016554922678</v>
      </c>
      <c r="F13" s="229">
        <f t="shared" si="3"/>
        <v>0.11518358072298703</v>
      </c>
      <c r="G13" s="229">
        <f t="shared" si="3"/>
        <v>9.7574864888451018E-2</v>
      </c>
      <c r="H13" s="229">
        <f t="shared" si="3"/>
        <v>8.4396362012618686E-2</v>
      </c>
      <c r="I13" s="229">
        <f t="shared" si="3"/>
        <v>8.1279060845364945E-2</v>
      </c>
      <c r="J13" s="229">
        <f t="shared" si="3"/>
        <v>0.1025472828818462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469579.74763406941</v>
      </c>
      <c r="D14" s="230">
        <f t="shared" ref="D14:M14" si="4">IF(D6="","",D9-D10-MAX(D11,0)-MAX(D12,0))</f>
        <v>421990.76340694004</v>
      </c>
      <c r="E14" s="230">
        <f t="shared" si="4"/>
        <v>412770.56466876972</v>
      </c>
      <c r="F14" s="230">
        <f t="shared" si="4"/>
        <v>405313.3974763407</v>
      </c>
      <c r="G14" s="230">
        <f t="shared" si="4"/>
        <v>301289.81388012617</v>
      </c>
      <c r="H14" s="230">
        <f t="shared" si="4"/>
        <v>253090.17350157729</v>
      </c>
      <c r="I14" s="230">
        <f t="shared" si="4"/>
        <v>235893.86119873816</v>
      </c>
      <c r="J14" s="230">
        <f t="shared" si="4"/>
        <v>269689.61198738171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0.11277257313150643</v>
      </c>
      <c r="D15" s="232">
        <f t="shared" ref="D15:M15" si="5">IF(E14="","",IF(ABS(D14+E14)=ABS(D14)+ABS(E14),IF(D14&lt;0,-1,1)*(D14-E14)/E14,"Turn"))</f>
        <v>2.2337345555560939E-2</v>
      </c>
      <c r="E15" s="232">
        <f t="shared" si="5"/>
        <v>1.8398521338945647E-2</v>
      </c>
      <c r="F15" s="232">
        <f t="shared" si="5"/>
        <v>0.34526087110798337</v>
      </c>
      <c r="G15" s="232">
        <f t="shared" si="5"/>
        <v>0.19044453489320673</v>
      </c>
      <c r="H15" s="232">
        <f t="shared" si="5"/>
        <v>7.2898515524960655E-2</v>
      </c>
      <c r="I15" s="232">
        <f t="shared" si="5"/>
        <v>-0.12531350592111345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187336.74763406941</v>
      </c>
      <c r="D22" s="161">
        <f t="shared" ref="D22:M22" si="8">IF(D6="","",D14-MAX(D16,0)-MAX(D17,0)-ABS(MAX(D21,0)-MAX(D19,0)))</f>
        <v>-166355.23659305996</v>
      </c>
      <c r="E22" s="161">
        <f t="shared" si="8"/>
        <v>147078.56466876972</v>
      </c>
      <c r="F22" s="161">
        <f t="shared" si="8"/>
        <v>182060.3974763407</v>
      </c>
      <c r="G22" s="161">
        <f t="shared" si="8"/>
        <v>40799.813880126167</v>
      </c>
      <c r="H22" s="161">
        <f t="shared" si="8"/>
        <v>55440.173501577287</v>
      </c>
      <c r="I22" s="161">
        <f t="shared" si="8"/>
        <v>-3693.1388012618409</v>
      </c>
      <c r="J22" s="161">
        <f t="shared" si="8"/>
        <v>-176292.38801261829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3.8731244100872537E-2</v>
      </c>
      <c r="D23" s="153">
        <f t="shared" si="9"/>
        <v>-3.2410327179863377E-2</v>
      </c>
      <c r="E23" s="153">
        <f t="shared" si="9"/>
        <v>3.0147352078906769E-2</v>
      </c>
      <c r="F23" s="153">
        <f t="shared" si="9"/>
        <v>4.1002881057346341E-2</v>
      </c>
      <c r="G23" s="153">
        <f t="shared" si="9"/>
        <v>1.047154979579186E-2</v>
      </c>
      <c r="H23" s="153">
        <f t="shared" si="9"/>
        <v>1.4651169556906899E-2</v>
      </c>
      <c r="I23" s="153">
        <f t="shared" si="9"/>
        <v>-1.0084559643120882E-3</v>
      </c>
      <c r="J23" s="153">
        <f t="shared" si="9"/>
        <v>-5.3124244982233199E-2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148464.3725</v>
      </c>
      <c r="D24" s="77">
        <f>IF(D6="","",D22*(1-Fin_Analysis!$I$84))</f>
        <v>-131836.52500000002</v>
      </c>
      <c r="E24" s="77">
        <f>IF(E6="","",E22*(1-Fin_Analysis!$I$84))</f>
        <v>116559.7625</v>
      </c>
      <c r="F24" s="77">
        <f>IF(F6="","",F22*(1-Fin_Analysis!$I$84))</f>
        <v>144282.86499999999</v>
      </c>
      <c r="G24" s="77">
        <f>IF(G6="","",G22*(1-Fin_Analysis!$I$84))</f>
        <v>32333.852499999986</v>
      </c>
      <c r="H24" s="77">
        <f>IF(H6="","",H22*(1-Fin_Analysis!$I$84))</f>
        <v>43936.337500000001</v>
      </c>
      <c r="I24" s="77">
        <f>IF(I6="","",I22*(1-Fin_Analysis!$I$84))</f>
        <v>-2926.8125000000086</v>
      </c>
      <c r="J24" s="77">
        <f>IF(J6="","",J22*(1-Fin_Analysis!$I$84))</f>
        <v>-139711.7175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-0.19214410872697874</v>
      </c>
      <c r="F25" s="233">
        <f t="shared" si="10"/>
        <v>3.4622849999083796</v>
      </c>
      <c r="G25" s="233">
        <f t="shared" si="10"/>
        <v>-0.26407492431520979</v>
      </c>
      <c r="H25" s="233" t="str">
        <f t="shared" si="10"/>
        <v>Turn</v>
      </c>
      <c r="I25" s="233">
        <f t="shared" si="10"/>
        <v>0.979051059192655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0.1618841939033181</v>
      </c>
      <c r="D40" s="155">
        <f>IF(D6="","",D14/MAX(D39,0))</f>
        <v>0.1412874661570408</v>
      </c>
      <c r="E40" s="155">
        <f>IF(E6="","",E14/MAX(E39,0))</f>
        <v>0.1319108964856309</v>
      </c>
      <c r="F40" s="155">
        <f t="shared" ref="F40:M40" si="33">IF(F39="","",F14/F39)</f>
        <v>0.14276761261073659</v>
      </c>
      <c r="G40" s="155">
        <f t="shared" si="33"/>
        <v>0.12201836204761517</v>
      </c>
      <c r="H40" s="155">
        <f t="shared" si="33"/>
        <v>0.10700985006690057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9.8097105597332122E-4</v>
      </c>
      <c r="D46" s="153">
        <f t="shared" ref="D46:M46" si="38">IF(D6="","",MAX(D12,0)/D6)</f>
        <v>9.3480191401645787E-3</v>
      </c>
      <c r="E46" s="153">
        <f t="shared" si="38"/>
        <v>1.1557828106263499E-2</v>
      </c>
      <c r="F46" s="153">
        <f t="shared" si="38"/>
        <v>1.0991555621389423E-2</v>
      </c>
      <c r="G46" s="153">
        <f t="shared" si="38"/>
        <v>1.1423474048151024E-2</v>
      </c>
      <c r="H46" s="153">
        <f t="shared" si="38"/>
        <v>1.0575740422065792E-2</v>
      </c>
      <c r="I46" s="153">
        <f t="shared" si="38"/>
        <v>1.0911503026857875E-2</v>
      </c>
      <c r="J46" s="153">
        <f t="shared" si="38"/>
        <v>7.8639296904710609E-3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4.8872232303940111E-2</v>
      </c>
      <c r="D48" s="153">
        <f t="shared" si="40"/>
        <v>-4.0896311898881238E-2</v>
      </c>
      <c r="E48" s="153">
        <f t="shared" si="40"/>
        <v>3.8040822812500652E-2</v>
      </c>
      <c r="F48" s="153">
        <f t="shared" si="40"/>
        <v>5.1738651176462265E-2</v>
      </c>
      <c r="G48" s="153">
        <f t="shared" si="40"/>
        <v>1.321331204516323E-2</v>
      </c>
      <c r="H48" s="153">
        <f t="shared" si="40"/>
        <v>1.8487280197989776E-2</v>
      </c>
      <c r="I48" s="153">
        <f t="shared" si="40"/>
        <v>-1.2724996395105214E-3</v>
      </c>
      <c r="J48" s="153">
        <f t="shared" si="40"/>
        <v>-6.7033747611650721E-2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0.90436944119929397</v>
      </c>
      <c r="D52" s="153">
        <f t="shared" ref="D52:M52" si="43">IF(E6="","",D16/(D6-E6))</f>
        <v>-0.31732846070199655</v>
      </c>
      <c r="E52" s="153">
        <f t="shared" si="43"/>
        <v>-0.24522285661663137</v>
      </c>
      <c r="F52" s="153">
        <f t="shared" si="43"/>
        <v>-0.32002755958484314</v>
      </c>
      <c r="G52" s="153">
        <f t="shared" si="43"/>
        <v>-2.0781423898013558</v>
      </c>
      <c r="H52" s="153">
        <f t="shared" si="43"/>
        <v>-0.61129695413072072</v>
      </c>
      <c r="I52" s="153">
        <f t="shared" si="43"/>
        <v>-4.8148447309869807E-2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0.19766986347718032</v>
      </c>
      <c r="D54" s="156">
        <f t="shared" ref="D54:M54" si="44">IF(D36="","",(D27-D36)/D27)</f>
        <v>0.21543286092524916</v>
      </c>
      <c r="E54" s="156">
        <f t="shared" si="44"/>
        <v>0.21737674703003232</v>
      </c>
      <c r="F54" s="156">
        <f t="shared" si="44"/>
        <v>0.22004620095970678</v>
      </c>
      <c r="G54" s="156">
        <f t="shared" si="44"/>
        <v>0.19888345313804912</v>
      </c>
      <c r="H54" s="156">
        <f t="shared" si="44"/>
        <v>0.19107288948809867</v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24.526937370263081</v>
      </c>
      <c r="D55" s="157">
        <f t="shared" si="45"/>
        <v>-17.20145141071864</v>
      </c>
      <c r="E55" s="157">
        <f t="shared" si="45"/>
        <v>13.117959745698334</v>
      </c>
      <c r="F55" s="157">
        <f t="shared" si="45"/>
        <v>10.918819567970536</v>
      </c>
      <c r="G55" s="157">
        <f t="shared" si="45"/>
        <v>22.780465594710311</v>
      </c>
      <c r="H55" s="157" t="str">
        <f t="shared" si="45"/>
        <v>-</v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1.4412548707603233E-3</v>
      </c>
      <c r="D56" s="153">
        <f t="shared" si="46"/>
        <v>-1.5569092100994012E-3</v>
      </c>
      <c r="E56" s="153">
        <f t="shared" si="46"/>
        <v>2.4816668616667779E-3</v>
      </c>
      <c r="F56" s="153">
        <f t="shared" si="46"/>
        <v>6.3715119602040062E-4</v>
      </c>
      <c r="G56" s="153">
        <f t="shared" si="46"/>
        <v>1.5686346067175269E-3</v>
      </c>
      <c r="H56" s="153" t="str">
        <f t="shared" si="46"/>
        <v>-</v>
      </c>
      <c r="I56" s="153" t="str">
        <f t="shared" si="46"/>
        <v>-</v>
      </c>
      <c r="J56" s="153" t="str">
        <f t="shared" si="46"/>
        <v>-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3.0168041692869996</v>
      </c>
      <c r="D57" s="158">
        <f t="shared" si="47"/>
        <v>2.7942400285655307</v>
      </c>
      <c r="E57" s="158">
        <f t="shared" si="47"/>
        <v>2.9317232378441278</v>
      </c>
      <c r="F57" s="158">
        <f t="shared" si="47"/>
        <v>3.0944307449985029</v>
      </c>
      <c r="G57" s="158">
        <f t="shared" si="47"/>
        <v>3.4859449249150689</v>
      </c>
      <c r="H57" s="158">
        <f t="shared" si="47"/>
        <v>3.6713486815660423</v>
      </c>
      <c r="I57" s="158" t="e">
        <f t="shared" si="47"/>
        <v>#VALUE!</v>
      </c>
      <c r="J57" s="158" t="e">
        <f t="shared" si="47"/>
        <v>#VALUE!</v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1098296.801647793</v>
      </c>
      <c r="E6" s="56">
        <f>1-D6/D3</f>
        <v>0.70042017082679342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1.0523194092259842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1.5486878379454707</v>
      </c>
      <c r="E53" s="88">
        <f>IF(C53=0,0,MAX(C53,C53*Dashboard!G23))</f>
        <v>70640.298352206752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3760.2523659305994</v>
      </c>
      <c r="D78" s="159">
        <f>C78/$C$74</f>
        <v>9.8097105597332122E-4</v>
      </c>
      <c r="E78" s="180">
        <f>E74*F78</f>
        <v>3760.2523659305989</v>
      </c>
      <c r="F78" s="160">
        <f>I78</f>
        <v>9.8097105597332122E-4</v>
      </c>
      <c r="H78" s="238">
        <f>Inputs!F97</f>
        <v>3760.2523659305989</v>
      </c>
      <c r="I78" s="160">
        <f>H78/$H$74</f>
        <v>9.8097105597332122E-4</v>
      </c>
      <c r="K78" s="24"/>
    </row>
    <row r="79" spans="1:11" ht="15" customHeight="1" x14ac:dyDescent="0.4">
      <c r="B79" s="256" t="s">
        <v>233</v>
      </c>
      <c r="C79" s="257">
        <f>C76-C77-C78</f>
        <v>469579.74763406941</v>
      </c>
      <c r="D79" s="258">
        <f>C79/C74</f>
        <v>0.12250351733673522</v>
      </c>
      <c r="E79" s="259">
        <f>E76-E77-E78</f>
        <v>469579.74763406941</v>
      </c>
      <c r="F79" s="258">
        <f>E79/E74</f>
        <v>0.12250351733673522</v>
      </c>
      <c r="G79" s="260"/>
      <c r="H79" s="259">
        <f>H76-H77-H78</f>
        <v>469579.74763406941</v>
      </c>
      <c r="I79" s="258">
        <f>H79/H74</f>
        <v>0.12250351733673522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38331.94</v>
      </c>
      <c r="F82" s="160">
        <f>E82/E74</f>
        <v>0.01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187336.74763406941</v>
      </c>
      <c r="D83" s="164">
        <f>C83/$C$74</f>
        <v>4.8872232303940111E-2</v>
      </c>
      <c r="E83" s="165">
        <f>E79-E81-E82-E80</f>
        <v>430977.80763406941</v>
      </c>
      <c r="F83" s="164">
        <f>E83/E74</f>
        <v>0.11243307999388223</v>
      </c>
      <c r="H83" s="165">
        <f>H79-H81-H82-H80</f>
        <v>469309.74763406941</v>
      </c>
      <c r="I83" s="164">
        <f>H83/$H$74</f>
        <v>0.12243307999388223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0.20750000000000002</v>
      </c>
      <c r="E84" s="212"/>
      <c r="F84" s="179">
        <f t="shared" ref="F84" si="3">I84</f>
        <v>0.20750000000000002</v>
      </c>
      <c r="H84" s="212"/>
      <c r="I84" s="202">
        <f>Inputs!C16</f>
        <v>0.20750000000000002</v>
      </c>
      <c r="K84" s="24"/>
    </row>
    <row r="85" spans="1:11" ht="15" customHeight="1" x14ac:dyDescent="0.4">
      <c r="B85" s="263" t="s">
        <v>165</v>
      </c>
      <c r="C85" s="257">
        <f>C83*(1-I84)</f>
        <v>148464.3725</v>
      </c>
      <c r="D85" s="258">
        <f>C85/$C$74</f>
        <v>3.8731244100872537E-2</v>
      </c>
      <c r="E85" s="264">
        <f>E83*(1-F84)</f>
        <v>341549.91255000001</v>
      </c>
      <c r="F85" s="258">
        <f>E85/E74</f>
        <v>8.9103215895151675E-2</v>
      </c>
      <c r="G85" s="260"/>
      <c r="H85" s="264">
        <f>H83*(1-I84)</f>
        <v>371927.97499999998</v>
      </c>
      <c r="I85" s="258">
        <f>H85/$H$74</f>
        <v>9.7028215895151662E-2</v>
      </c>
      <c r="K85" s="24"/>
    </row>
    <row r="86" spans="1:11" ht="15" customHeight="1" x14ac:dyDescent="0.4">
      <c r="B86" s="87" t="s">
        <v>161</v>
      </c>
      <c r="C86" s="167">
        <f>C85*Data!C4/Common_Shares</f>
        <v>0.14224929047039839</v>
      </c>
      <c r="D86" s="209"/>
      <c r="E86" s="168">
        <f>E85*Data!C4/Common_Shares</f>
        <v>0.32725179719776959</v>
      </c>
      <c r="F86" s="209"/>
      <c r="H86" s="168">
        <f>H85*Data!C4/Common_Shares</f>
        <v>0.35635815959712541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2.6148766630587936E-2</v>
      </c>
      <c r="D87" s="209"/>
      <c r="E87" s="262">
        <f>E86*Exchange_Rate/Dashboard!G3</f>
        <v>6.0156580367237054E-2</v>
      </c>
      <c r="F87" s="209"/>
      <c r="H87" s="262">
        <f>H86*Exchange_Rate/Dashboard!G3</f>
        <v>6.5507014631824526E-2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1.1121320849956782</v>
      </c>
      <c r="E88" s="170">
        <f>Inputs!E98</f>
        <v>0.15820000000000001</v>
      </c>
      <c r="F88" s="166">
        <f>E88/E86</f>
        <v>0.48341980503897514</v>
      </c>
      <c r="H88" s="170">
        <f>Inputs!F98</f>
        <v>0.15820000000000001</v>
      </c>
      <c r="I88" s="166">
        <f>H88/H86</f>
        <v>0.44393539403966586</v>
      </c>
      <c r="K88" s="24"/>
    </row>
    <row r="89" spans="1:11" ht="15" customHeight="1" x14ac:dyDescent="0.4">
      <c r="B89" s="87" t="s">
        <v>222</v>
      </c>
      <c r="C89" s="261">
        <f>C88*Exchange_Rate/Dashboard!G3</f>
        <v>2.9080882352941175E-2</v>
      </c>
      <c r="D89" s="209"/>
      <c r="E89" s="261">
        <f>E88*Exchange_Rate/Dashboard!G3</f>
        <v>2.9080882352941175E-2</v>
      </c>
      <c r="F89" s="209"/>
      <c r="H89" s="261">
        <f>H88*Exchange_Rate/Dashboard!G3</f>
        <v>2.9080882352941175E-2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7.2439714894694216</v>
      </c>
      <c r="H93" s="87" t="s">
        <v>210</v>
      </c>
      <c r="I93" s="144">
        <f>FV(H87,D93,0,-(H86/(C93-D94)))*Exchange_Rate</f>
        <v>8.0893364453483176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3.0178569897666088</v>
      </c>
      <c r="H94" s="87" t="s">
        <v>211</v>
      </c>
      <c r="I94" s="144">
        <f>FV(H89,D93,0,-(H88/(C93-D94)))*Exchange_Rate</f>
        <v>3.0178569897666088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4197549.5845953654</v>
      </c>
      <c r="D97" s="213"/>
      <c r="E97" s="123">
        <f>PV(C94,D93,0,-F93)</f>
        <v>3.6015340957282973</v>
      </c>
      <c r="F97" s="213"/>
      <c r="H97" s="123">
        <f>PV(C94,D93,0,-I93)</f>
        <v>4.02182988462775</v>
      </c>
      <c r="I97" s="123">
        <f>PV(C93,D93,0,-I93)</f>
        <v>5.4927400056181375</v>
      </c>
      <c r="K97" s="24"/>
    </row>
    <row r="98" spans="2:11" ht="15" customHeight="1" x14ac:dyDescent="0.4">
      <c r="B98" s="28" t="s">
        <v>145</v>
      </c>
      <c r="C98" s="91">
        <f>-E53*Exchange_Rate</f>
        <v>-70640.298352206752</v>
      </c>
      <c r="D98" s="213"/>
      <c r="E98" s="213"/>
      <c r="F98" s="213"/>
      <c r="H98" s="123">
        <f>C98*Data!$C$4/Common_Shares</f>
        <v>-6.768312255668385E-2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5295846.386243159</v>
      </c>
      <c r="D100" s="109">
        <f>MIN(F100*(1-C94),E100)</f>
        <v>4.0630010280922617</v>
      </c>
      <c r="E100" s="109">
        <f>MAX(E97+H98+E99,0)</f>
        <v>4.4858531251868818</v>
      </c>
      <c r="F100" s="109">
        <f>(E100+H100)/2</f>
        <v>4.7800012095203082</v>
      </c>
      <c r="H100" s="109">
        <f>MAX(C100*Data!$C$4/Common_Shares,0)</f>
        <v>5.0741492938537345</v>
      </c>
      <c r="I100" s="109">
        <f>MAX(I97+H98+H99,0)</f>
        <v>6.5450594148441219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1565963.3443788101</v>
      </c>
      <c r="D103" s="109">
        <f>MIN(F103*(1-C94),E103)</f>
        <v>1.275347042903894</v>
      </c>
      <c r="E103" s="123">
        <f>PV(C94,D93,0,-F94)</f>
        <v>1.5004082857692871</v>
      </c>
      <c r="F103" s="109">
        <f>(E103+H103)/2</f>
        <v>1.5004082857692871</v>
      </c>
      <c r="H103" s="123">
        <f>PV(C94,D93,0,-I94)</f>
        <v>1.5004082857692871</v>
      </c>
      <c r="I103" s="109">
        <f>PV(C93,D93,0,-I94)</f>
        <v>2.0491549499659389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3123905.0158338663</v>
      </c>
      <c r="D106" s="109">
        <f>(D100+D103)/2</f>
        <v>2.6691740354980777</v>
      </c>
      <c r="E106" s="123">
        <f>(E100+E103)/2</f>
        <v>2.9931307054780847</v>
      </c>
      <c r="F106" s="109">
        <f>(F100+F103)/2</f>
        <v>3.1402047476447974</v>
      </c>
      <c r="H106" s="123">
        <f>(H100+H103)/2</f>
        <v>3.287278789811511</v>
      </c>
      <c r="I106" s="123">
        <f>(I100+I103)/2</f>
        <v>4.2971071824050302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2024-12-13T02:51:51Z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