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340F1EA-BD15-4A1F-9586-DCA3AC76CB1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5" i="4" l="1"/>
  <c r="F96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<sst xmlns="http://schemas.openxmlformats.org/spreadsheetml/2006/main" count="391" uniqueCount="272">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</sst>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28698864088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4.5737636055362199E-2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37623092</v>
      </c>
      <c r="D72" s="248">
        <v>0</v>
      </c>
      <c r="E72" s="249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1766.HK</v>
      </c>
      <c r="D3" s="278"/>
      <c r="E3" s="87"/>
      <c r="F3" s="3" t="s">
        <v>1</v>
      </c>
      <c r="G3" s="132">
        <v>4.68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中国中车</v>
      </c>
      <c r="D4" s="280"/>
      <c r="E4" s="87"/>
      <c r="F4" s="3" t="s">
        <v>2</v>
      </c>
      <c r="G4" s="283">
        <f>Inputs!C10</f>
        <v>28698864088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134310.68393184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0.78463553343209413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0.62776027831200154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258</v>
      </c>
      <c r="G24" s="268">
        <f>G3/(Fin_Analysis!H86*G7)</f>
        <v>12.949787974328258</v>
      </c>
    </row>
    <row r="25" spans="1:8" ht="15.75" customHeight="1" x14ac:dyDescent="0.4">
      <c r="B25" s="137" t="s">
        <v>243</v>
      </c>
      <c r="C25" s="171">
        <f>Fin_Analysis!I82</f>
        <v>8.8200573996119572E-5</v>
      </c>
      <c r="F25" s="140" t="s">
        <v>174</v>
      </c>
      <c r="G25" s="171">
        <f>Fin_Analysis!I88</f>
        <v>0.59229268936393198</v>
      </c>
    </row>
    <row r="26" spans="1:8" ht="15.75" customHeight="1" x14ac:dyDescent="0.4">
      <c r="B26" s="138" t="s">
        <v>173</v>
      </c>
      <c r="C26" s="171">
        <f>Fin_Analysis!I83</f>
        <v>5.5156426590839844E-2</v>
      </c>
      <c r="F26" s="141" t="s">
        <v>193</v>
      </c>
      <c r="G26" s="178">
        <f>Fin_Analysis!H88*Exchange_Rate/G3</f>
        <v>4.5737636055362199E-2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1.8698536199654701</v>
      </c>
      <c r="D29" s="129">
        <f>G29*(1+G20)</f>
        <v>3.4550303744700939</v>
      </c>
      <c r="E29" s="87"/>
      <c r="F29" s="131">
        <f>IF(Fin_Analysis!C108="Profit",Fin_Analysis!F100,IF(Fin_Analysis!C108="Dividend",Fin_Analysis!F103,Fin_Analysis!F106))</f>
        <v>2.1998277881946708</v>
      </c>
      <c r="G29" s="274">
        <f>IF(Fin_Analysis!C108="Profit",Fin_Analysis!I100,IF(Fin_Analysis!C108="Dividend",Fin_Analysis!I103,Fin_Analysis!I106))</f>
        <v>3.004374238669647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0.51922053231500931</v>
      </c>
      <c r="D50" s="156">
        <f t="shared" si="41"/>
        <v>0.58886323504346172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0.36796930715644566</v>
      </c>
      <c r="D51" s="153">
        <f t="shared" si="42"/>
        <v>0.29985264510251758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-1.4950263965598143E-2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0.58309352323463393</v>
      </c>
      <c r="D54" s="156">
        <f t="shared" ref="D54:M54" si="44">IF(D36="","",(D27-D36)/D27)</f>
        <v>0.21060858391144721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0.61519693591548208</v>
      </c>
      <c r="D55" s="157">
        <f t="shared" si="45"/>
        <v>2712.0275671120739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1.250490989804119</v>
      </c>
      <c r="D57" s="158">
        <f t="shared" si="47"/>
        <v>4.3002657471877468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-140867987.31525487</v>
      </c>
      <c r="E6" s="56">
        <f>1-D6/D3</f>
        <v>1.704668978232315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21003076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95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232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160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7.7221341537205571E-2</v>
      </c>
      <c r="D87" s="209"/>
      <c r="E87" s="262">
        <f>E86*Exchange_Rate/Dashboard!G3</f>
        <v>7.7221341537205571E-2</v>
      </c>
      <c r="F87" s="209"/>
      <c r="H87" s="262">
        <f>H86*Exchange_Rate/Dashboard!G3</f>
        <v>7.7221341537205571E-2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221</v>
      </c>
      <c r="C89" s="261">
        <f>C88*Exchange_Rate/Dashboard!G3</f>
        <v>4.5737636055362199E-2</v>
      </c>
      <c r="D89" s="209"/>
      <c r="E89" s="261">
        <f>E88*Exchange_Rate/Dashboard!G3</f>
        <v>4.5737636055362199E-2</v>
      </c>
      <c r="F89" s="209"/>
      <c r="H89" s="261">
        <f>H88*Exchange_Rate/Dashboard!G3</f>
        <v>4.5737636055362199E-2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8.6646807384599533</v>
      </c>
      <c r="H93" s="87" t="s">
        <v>209</v>
      </c>
      <c r="I93" s="144">
        <f>FV(H87,D93,0,-(H86/(C93-D94)))*Exchange_Rate</f>
        <v>8.6646807384599533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4.4246394330475773</v>
      </c>
      <c r="H94" s="87" t="s">
        <v>210</v>
      </c>
      <c r="I94" s="144">
        <f>FV(H89,D93,0,-(H88/(C93-D94)))*Exchange_Rate</f>
        <v>4.4246394330475773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123631196.10199705</v>
      </c>
      <c r="D97" s="213"/>
      <c r="E97" s="123">
        <f>PV(C94,D93,0,-F93)</f>
        <v>4.3078776819494955</v>
      </c>
      <c r="F97" s="213"/>
      <c r="H97" s="123">
        <f>PV(C94,D93,0,-I93)</f>
        <v>4.3078776819494955</v>
      </c>
      <c r="I97" s="123">
        <f>PV(C93,D93,0,-I93)</f>
        <v>5.8834045103187194</v>
      </c>
      <c r="K97" s="24"/>
    </row>
    <row r="98" spans="2:11" ht="15" customHeight="1" x14ac:dyDescent="0.4">
      <c r="B98" s="28" t="s">
        <v>144</v>
      </c>
      <c r="C98" s="91">
        <f>-E53*Exchange_Rate</f>
        <v>-42293188.55382061</v>
      </c>
      <c r="D98" s="213"/>
      <c r="E98" s="213"/>
      <c r="F98" s="213"/>
      <c r="H98" s="123">
        <f>C98*Data!$C$4/Common_Shares</f>
        <v>-1.4736885900478853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81338007.548176438</v>
      </c>
      <c r="D100" s="109">
        <f>MIN(F100*(1-C94),E100)</f>
        <v>2.4090607281163687</v>
      </c>
      <c r="E100" s="109">
        <f>MAX(E97+H98+E99,0)</f>
        <v>2.8341890919016102</v>
      </c>
      <c r="F100" s="109">
        <f>(E100+H100)/2</f>
        <v>2.8341890919016102</v>
      </c>
      <c r="H100" s="109">
        <f>MAX(C100*Data!$C$4/Common_Shares,0)</f>
        <v>2.8341890919016097</v>
      </c>
      <c r="I100" s="109">
        <f>MAX(I97+H98+H99,0)</f>
        <v>4.409715920270834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63132558.710404508</v>
      </c>
      <c r="D103" s="109">
        <f>MIN(F103*(1-C94),E103)</f>
        <v>1.8698536199654701</v>
      </c>
      <c r="E103" s="123">
        <f>PV(C94,D93,0,-F94)</f>
        <v>2.1998277881946708</v>
      </c>
      <c r="F103" s="109">
        <f>(E103+H103)/2</f>
        <v>2.1998277881946708</v>
      </c>
      <c r="H103" s="123">
        <f>PV(C94,D93,0,-I94)</f>
        <v>2.1998277881946708</v>
      </c>
      <c r="I103" s="109">
        <f>PV(C93,D93,0,-I94)</f>
        <v>3.004374238669647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72235283.129290476</v>
      </c>
      <c r="D106" s="109">
        <f>(D100+D103)/2</f>
        <v>2.1394571740409196</v>
      </c>
      <c r="E106" s="123">
        <f>(E100+E103)/2</f>
        <v>2.5170084400481407</v>
      </c>
      <c r="F106" s="109">
        <f>(F100+F103)/2</f>
        <v>2.5170084400481407</v>
      </c>
      <c r="H106" s="123">
        <f>(H100+H103)/2</f>
        <v>2.5170084400481403</v>
      </c>
      <c r="I106" s="123">
        <f>(I100+I103)/2</f>
        <v>3.7070450794702405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