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08702B-79AF-459E-8BEB-08B9323153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5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H106" i="3" s="1"/>
  <c r="I106" i="3"/>
  <c r="G29" i="1"/>
  <c r="D29" i="1" s="1"/>
  <c r="F100" i="3" l="1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<sst xmlns="http://schemas.openxmlformats.org/spreadsheetml/2006/main" count="391" uniqueCount="272">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</sst>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294387791241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0.2364+0.1208</f>
        <v>0.35720000000000002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0.10007777911414235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0.35720000000000002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3988.HK</v>
      </c>
      <c r="D3" s="278"/>
      <c r="E3" s="87"/>
      <c r="F3" s="3" t="s">
        <v>1</v>
      </c>
      <c r="G3" s="132">
        <v>3.82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中国银行</v>
      </c>
      <c r="D4" s="280"/>
      <c r="E4" s="87"/>
      <c r="F4" s="3" t="s">
        <v>2</v>
      </c>
      <c r="G4" s="283">
        <f>Inputs!C10</f>
        <v>294387791241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1124561.3625406199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1.1832950701880444E-2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4.1579053184264669</v>
      </c>
    </row>
    <row r="25" spans="1:8" ht="15.75" customHeight="1" x14ac:dyDescent="0.4">
      <c r="B25" s="137" t="s">
        <v>243</v>
      </c>
      <c r="C25" s="171">
        <f>Fin_Analysis!I82</f>
        <v>0.49757189674208302</v>
      </c>
      <c r="F25" s="140" t="s">
        <v>174</v>
      </c>
      <c r="G25" s="171">
        <f>Fin_Analysis!I88</f>
        <v>0.34947978446388717</v>
      </c>
    </row>
    <row r="26" spans="1:8" ht="15.75" customHeight="1" x14ac:dyDescent="0.4">
      <c r="B26" s="138" t="s">
        <v>173</v>
      </c>
      <c r="C26" s="171">
        <f>Fin_Analysis!I83</f>
        <v>0.29524894411244107</v>
      </c>
      <c r="F26" s="141" t="s">
        <v>193</v>
      </c>
      <c r="G26" s="178">
        <f>Fin_Analysis!H88*Exchange_Rate/G3</f>
        <v>8.4051886154094924E-2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3.3576507682030581</v>
      </c>
      <c r="D29" s="129">
        <f>G29*(1+G20)</f>
        <v>6.2041141975694538</v>
      </c>
      <c r="E29" s="87"/>
      <c r="F29" s="131">
        <f>IF(Fin_Analysis!C108="Profit",Fin_Analysis!F100,IF(Fin_Analysis!C108="Dividend",Fin_Analysis!F103,Fin_Analysis!F106))</f>
        <v>3.9501773743565392</v>
      </c>
      <c r="G29" s="274">
        <f>IF(Fin_Analysis!C108="Profit",Fin_Analysis!I100,IF(Fin_Analysis!C108="Dividend",Fin_Analysis!I103,Fin_Analysis!I106))</f>
        <v>5.3948819109299606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95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160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0.24050571704178289</v>
      </c>
      <c r="D87" s="209"/>
      <c r="E87" s="262">
        <f>E86*Exchange_Rate/Dashboard!G3</f>
        <v>0.24050571704178289</v>
      </c>
      <c r="F87" s="209"/>
      <c r="H87" s="262">
        <f>H86*Exchange_Rate/Dashboard!G3</f>
        <v>0.24050571704178289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0.35720000000000002</v>
      </c>
      <c r="D88" s="166">
        <f>C88/C86</f>
        <v>0.41611393003500163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221</v>
      </c>
      <c r="C89" s="261">
        <f>C88*Exchange_Rate/Dashboard!G3</f>
        <v>0.10007777911414235</v>
      </c>
      <c r="D89" s="209"/>
      <c r="E89" s="261">
        <f>E88*Exchange_Rate/Dashboard!G3</f>
        <v>8.4051886154094924E-2</v>
      </c>
      <c r="F89" s="209"/>
      <c r="H89" s="261">
        <f>H88*Exchange_Rate/Dashboard!G3</f>
        <v>8.4051886154094924E-2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44.609488468091484</v>
      </c>
      <c r="H93" s="87" t="s">
        <v>209</v>
      </c>
      <c r="I93" s="144">
        <f>FV(H87,D93,0,-(H86/(C93-D94)))*Exchange_Rate</f>
        <v>44.609488468091484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7.945217653811901</v>
      </c>
      <c r="H94" s="87" t="s">
        <v>210</v>
      </c>
      <c r="I94" s="144">
        <f>FV(H89,D93,0,-(H88/(C93-D94)))*Exchange_Rate</f>
        <v>7.945217653811901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6529167.8972421773</v>
      </c>
      <c r="D97" s="213"/>
      <c r="E97" s="123">
        <f>PV(C94,D93,0,-F93)</f>
        <v>22.178799839892434</v>
      </c>
      <c r="F97" s="213"/>
      <c r="H97" s="123">
        <f>PV(C94,D93,0,-I93)</f>
        <v>22.178799839892434</v>
      </c>
      <c r="I97" s="123">
        <f>PV(C93,D93,0,-I93)</f>
        <v>30.290286922080963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6529167.8972421773</v>
      </c>
      <c r="D100" s="109">
        <f>MIN(F100*(1-C94),E100)</f>
        <v>18.851979863908568</v>
      </c>
      <c r="E100" s="109">
        <f>MAX(E97+H98+E99,0)</f>
        <v>22.178799839892434</v>
      </c>
      <c r="F100" s="109">
        <f>(E100+H100)/2</f>
        <v>22.178799839892434</v>
      </c>
      <c r="H100" s="109">
        <f>MAX(C100*Data!$C$4/Common_Shares,0)</f>
        <v>22.178799839892434</v>
      </c>
      <c r="I100" s="109">
        <f>MAX(I97+H98+H99,0)</f>
        <v>30.290286922080963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1162883.9922469943</v>
      </c>
      <c r="D103" s="109">
        <f>MIN(F103*(1-C94),E103)</f>
        <v>3.3576507682030581</v>
      </c>
      <c r="E103" s="123">
        <f>PV(C94,D93,0,-F94)</f>
        <v>3.9501773743565392</v>
      </c>
      <c r="F103" s="109">
        <f>(E103+H103)/2</f>
        <v>3.9501773743565392</v>
      </c>
      <c r="H103" s="123">
        <f>PV(C94,D93,0,-I94)</f>
        <v>3.9501773743565392</v>
      </c>
      <c r="I103" s="109">
        <f>PV(C93,D93,0,-I94)</f>
        <v>5.3948819109299606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3846025.9447445865</v>
      </c>
      <c r="D106" s="109">
        <f>(D100+D103)/2</f>
        <v>11.104815316055813</v>
      </c>
      <c r="E106" s="123">
        <f>(E100+E103)/2</f>
        <v>13.064488607124487</v>
      </c>
      <c r="F106" s="109">
        <f>(F100+F103)/2</f>
        <v>13.064488607124487</v>
      </c>
      <c r="H106" s="123">
        <f>(H100+H103)/2</f>
        <v>13.064488607124487</v>
      </c>
      <c r="I106" s="123">
        <f>(I100+I103)/2</f>
        <v>17.84258441650546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