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28B544-5618-4706-8193-E3DE1D1B6DB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6" i="4" l="1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 s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<sst xmlns="http://schemas.openxmlformats.org/spreadsheetml/2006/main" count="391" uniqueCount="271">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</sst>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1333333500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6.6356162389119483E-2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6601.HK</v>
      </c>
      <c r="D3" s="278"/>
      <c r="E3" s="87"/>
      <c r="F3" s="3" t="s">
        <v>1</v>
      </c>
      <c r="G3" s="132">
        <v>1.9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朝云集团</v>
      </c>
      <c r="D4" s="280"/>
      <c r="E4" s="87"/>
      <c r="F4" s="3" t="s">
        <v>2</v>
      </c>
      <c r="G4" s="283">
        <f>Inputs!C10</f>
        <v>1333333500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2533.33365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0.55541924442229906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0.78189512762005464</v>
      </c>
    </row>
    <row r="24" spans="1:8" ht="15.75" customHeight="1" x14ac:dyDescent="0.4">
      <c r="B24" s="137" t="s">
        <v>170</v>
      </c>
      <c r="C24" s="171">
        <f>Fin_Analysis!I81</f>
        <v>6.208277497005729E-4</v>
      </c>
      <c r="F24" s="140" t="s">
        <v>259</v>
      </c>
      <c r="G24" s="268">
        <f>G3/(Fin_Analysis!H86*G7)</f>
        <v>39.177640092243919</v>
      </c>
    </row>
    <row r="25" spans="1:8" ht="15.75" customHeight="1" x14ac:dyDescent="0.4">
      <c r="B25" s="137" t="s">
        <v>243</v>
      </c>
      <c r="C25" s="171">
        <f>Fin_Analysis!I82</f>
        <v>1.2789175437999239E-2</v>
      </c>
      <c r="F25" s="140" t="s">
        <v>174</v>
      </c>
      <c r="G25" s="171">
        <f>Fin_Analysis!I88</f>
        <v>2.5996778479834153</v>
      </c>
    </row>
    <row r="26" spans="1:8" ht="15.75" customHeight="1" x14ac:dyDescent="0.4">
      <c r="B26" s="138" t="s">
        <v>173</v>
      </c>
      <c r="C26" s="171">
        <f>Fin_Analysis!I83</f>
        <v>4.9862433731434744E-2</v>
      </c>
      <c r="F26" s="141" t="s">
        <v>193</v>
      </c>
      <c r="G26" s="178">
        <f>Fin_Analysis!H88*Exchange_Rate/G3</f>
        <v>6.6356162389119483E-2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1.4251191844044504</v>
      </c>
      <c r="D29" s="129">
        <f>G29*(1+G20)</f>
        <v>2.3923956755747651</v>
      </c>
      <c r="E29" s="87"/>
      <c r="F29" s="131">
        <f>IF(Fin_Analysis!C108="Profit",Fin_Analysis!F100,IF(Fin_Analysis!C108="Dividend",Fin_Analysis!F103,Fin_Analysis!F106))</f>
        <v>1.6766108051817064</v>
      </c>
      <c r="G29" s="274">
        <f>IF(Fin_Analysis!C108="Profit",Fin_Analysis!I100,IF(Fin_Analysis!C108="Dividend",Fin_Analysis!I103,Fin_Analysis!I106))</f>
        <v>2.080344065717187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0.11203000770618693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9.7865479067953717E-2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-1.0019710323355846</v>
      </c>
      <c r="D52" s="153">
        <f t="shared" ref="D52:M52" si="43">IF(E6="","",D16/(D6-E6))</f>
        <v>0.15765272743621306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0.1751627786077426</v>
      </c>
      <c r="D54" s="156">
        <f t="shared" ref="D54:M54" si="44">IF(D36="","",(D27-D36)/D27)</f>
        <v>0.21060858391144721</v>
      </c>
      <c r="E54" s="156">
        <f t="shared" si="44"/>
        <v>0.21276976631405353</v>
      </c>
      <c r="F54" s="156">
        <f t="shared" si="44"/>
        <v>0.84857949978181479</v>
      </c>
      <c r="G54" s="156">
        <f t="shared" si="44"/>
        <v>0.98878596160178012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2.369393217447572</v>
      </c>
      <c r="D55" s="157">
        <f t="shared" si="45"/>
        <v>-1.2060310581437341</v>
      </c>
      <c r="E55" s="157">
        <f t="shared" si="45"/>
        <v>5.3942585015762292</v>
      </c>
      <c r="F55" s="157">
        <f t="shared" si="45"/>
        <v>0.92325313885928983</v>
      </c>
      <c r="G55" s="157">
        <f t="shared" si="45"/>
        <v>20.080950024740229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1.2450811226833175E-2</v>
      </c>
      <c r="D56" s="153">
        <f t="shared" si="46"/>
        <v>-4.3070319908169882E-2</v>
      </c>
      <c r="E56" s="153">
        <f t="shared" si="46"/>
        <v>2.0056451512626985E-2</v>
      </c>
      <c r="F56" s="153">
        <f t="shared" si="46"/>
        <v>9.3355027935918562E-3</v>
      </c>
      <c r="G56" s="153">
        <f t="shared" si="46"/>
        <v>1.4735016114883846E-3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4.8753437887604978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2122992.1027830443</v>
      </c>
      <c r="E6" s="56">
        <f>1-D6/D3</f>
        <v>0.29871578203125293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1.7041160215390043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33999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95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232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160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2.5524763555065996E-2</v>
      </c>
      <c r="D87" s="209"/>
      <c r="E87" s="262">
        <f>E86*Exchange_Rate/Dashboard!G3</f>
        <v>2.5524763555065996E-2</v>
      </c>
      <c r="F87" s="209"/>
      <c r="H87" s="262">
        <f>H86*Exchange_Rate/Dashboard!G3</f>
        <v>2.5524763555065996E-2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221</v>
      </c>
      <c r="C89" s="261">
        <f>C88*Exchange_Rate/Dashboard!G3</f>
        <v>6.6356162389119483E-2</v>
      </c>
      <c r="D89" s="209"/>
      <c r="E89" s="261">
        <f>E88*Exchange_Rate/Dashboard!G3</f>
        <v>6.6356162389119483E-2</v>
      </c>
      <c r="F89" s="209"/>
      <c r="H89" s="261">
        <f>H88*Exchange_Rate/Dashboard!G3</f>
        <v>6.6356162389119483E-2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0.90926550022235841</v>
      </c>
      <c r="H93" s="87" t="s">
        <v>209</v>
      </c>
      <c r="I93" s="144">
        <f>FV(H87,D93,0,-(H86/(C93-D94)))*Exchange_Rate</f>
        <v>0.90926550022235841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2.8733656975844428</v>
      </c>
      <c r="H94" s="87" t="s">
        <v>210</v>
      </c>
      <c r="I94" s="144">
        <f>FV(H89,D93,0,-(H88/(C93-D94)))*Exchange_Rate</f>
        <v>2.8733656975844428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602754.27923750028</v>
      </c>
      <c r="D97" s="213"/>
      <c r="E97" s="123">
        <f>PV(C94,D93,0,-F93)</f>
        <v>0.45206565291991863</v>
      </c>
      <c r="F97" s="213"/>
      <c r="H97" s="123">
        <f>PV(C94,D93,0,-I93)</f>
        <v>0.45206565291991863</v>
      </c>
      <c r="I97" s="123">
        <f>PV(C93,D93,0,-I93)</f>
        <v>0.61740032974789738</v>
      </c>
      <c r="K97" s="24"/>
    </row>
    <row r="98" spans="2:11" ht="15" customHeight="1" x14ac:dyDescent="0.4">
      <c r="B98" s="28" t="s">
        <v>144</v>
      </c>
      <c r="C98" s="91">
        <f>-E53*Exchange_Rate</f>
        <v>-4270.3401279449463</v>
      </c>
      <c r="D98" s="213"/>
      <c r="E98" s="213"/>
      <c r="F98" s="213"/>
      <c r="H98" s="123">
        <f>C98*Data!$C$4/Common_Shares</f>
        <v>-3.2027546956143729E-3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2127262.4429109893</v>
      </c>
      <c r="D99" s="214"/>
      <c r="E99" s="145">
        <f>IF(H99&gt;0,H99*(1-C94),H99*(1+C94))</f>
        <v>1.3561296378395509</v>
      </c>
      <c r="F99" s="214"/>
      <c r="H99" s="145">
        <f>C99*Data!$C$4/Common_Shares</f>
        <v>1.5954466327524128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2725746.3820205447</v>
      </c>
      <c r="D100" s="109">
        <f>MIN(F100*(1-C94),E100)</f>
        <v>1.6359533784922431</v>
      </c>
      <c r="E100" s="109">
        <f>MAX(E97+H98+E99,0)</f>
        <v>1.804992536063855</v>
      </c>
      <c r="F100" s="109">
        <f>(E100+H100)/2</f>
        <v>1.924651033520286</v>
      </c>
      <c r="H100" s="109">
        <f>MAX(C100*Data!$C$4/Common_Shares,0)</f>
        <v>2.044309530976717</v>
      </c>
      <c r="I100" s="109">
        <f>MAX(I97+H98+H99,0)</f>
        <v>2.2096442078046961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1904761.0072192647</v>
      </c>
      <c r="D103" s="109">
        <f>MIN(F103*(1-C94),E103)</f>
        <v>1.2142849903166575</v>
      </c>
      <c r="E103" s="123">
        <f>PV(C94,D93,0,-F94)</f>
        <v>1.4285705768431265</v>
      </c>
      <c r="F103" s="109">
        <f>(E103+H103)/2</f>
        <v>1.4285705768431265</v>
      </c>
      <c r="H103" s="123">
        <f>PV(C94,D93,0,-I94)</f>
        <v>1.4285705768431265</v>
      </c>
      <c r="I103" s="109">
        <f>PV(C93,D93,0,-I94)</f>
        <v>1.9510439236296782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2155709.0114015802</v>
      </c>
      <c r="D106" s="109">
        <f>(D100+D103)/2</f>
        <v>1.4251191844044504</v>
      </c>
      <c r="E106" s="123">
        <f>(E100+E103)/2</f>
        <v>1.6167815564534909</v>
      </c>
      <c r="F106" s="109">
        <f>(F100+F103)/2</f>
        <v>1.6766108051817064</v>
      </c>
      <c r="H106" s="123">
        <f>(H100+H103)/2</f>
        <v>1.7364400539099218</v>
      </c>
      <c r="I106" s="123">
        <f>(I100+I103)/2</f>
        <v>2.080344065717187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