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2A51E1E-75D7-4EEF-9F0C-C383F5AC3674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4" i="1" l="1"/>
  <c r="C83" i="3"/>
  <c r="E83" i="3"/>
  <c r="F77" i="3"/>
  <c r="H7" i="1"/>
  <c r="I33" i="3" l="1"/>
  <c r="I11" i="3"/>
  <c r="C42" i="3"/>
  <c r="C38" i="3"/>
  <c r="E82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C96" i="3" l="1"/>
  <c r="J19" i="2"/>
  <c r="J38" i="2" s="1"/>
  <c r="I46" i="2"/>
  <c r="I22" i="2"/>
  <c r="H37" i="2"/>
  <c r="H38" i="2" s="1"/>
  <c r="H51" i="2"/>
  <c r="H46" i="2"/>
  <c r="H22" i="2"/>
  <c r="D77" i="3"/>
  <c r="E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5" i="3" s="1"/>
  <c r="D85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<sst xmlns="http://schemas.openxmlformats.org/spreadsheetml/2006/main" count="250" uniqueCount="230">
  <si>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</si>
  <si>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</si>
  <si>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</si>
  <si>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</si>
  <si>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</si>
  <si>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</si>
  <si>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</si>
  <si>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</si>
  <si>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</si>
  <si>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</si>
  <si>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</si>
  <si>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</si>
  <si>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</si>
  <si>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</si>
  <si>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</si>
  <si>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</si>
  <si>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</si>
  <si>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</si>
  <si>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</si>
  <si>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</si>
  <si>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</si>
  <si>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</si>
  <si>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</si>
  <si>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</si>
  <si>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</si>
  <si>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</si>
  <si>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</si>
  <si>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</si>
  <si>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</si>
  <si>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</si>
  <si>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</si>
  <si>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</si>
  <si>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</si>
  <si>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</si>
  <si>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</si>
  <si>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Valued @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</si>
  <si>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</si>
  <si>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</si>
  <si>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</si>
  <si>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</si>
  <si>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</si>
  <si>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</si>
  <si>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</si>
  <si>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</si>
  <si>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</si>
  <si>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</si>
  <si>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</si>
  <si>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</si>
  <si>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</si>
  <si>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</si>
  <si>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</si>
  <si>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</si>
  <si>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</si>
  <si>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</si>
  <si>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</si>
  <si>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</si>
  <si>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</si>
  <si>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</si>
  <si>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</si>
  <si>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</si>
  <si>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</si>
  <si>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</si>
  <si>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</si>
  <si>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</si>
  <si>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</si>
  <si>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</si>
  <si>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</si>
  <si>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</si>
  <si>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</si>
  <si>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</si>
  <si>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</si>
  <si>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</si>
  <si>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</si>
  <si>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</si>
  <si>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</si>
  <si>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</si>
  <si>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</si>
  <si>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</si>
  <si>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</si>
  <si>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</si>
  <si>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</si>
  <si>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</si>
  <si>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</si>
  <si>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</si>
  <si>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</si>
  <si>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</si>
  <si>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</si>
  <si>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</si>
  <si>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</si>
  <si>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</si>
  <si>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</si>
  <si>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</si>
  <si>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</si>
  <si>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</si>
  <si>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</si>
  <si>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</si>
  <si>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</si>
  <si>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</si>
  <si>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</si>
  <si>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</si>
  <si>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</si>
  <si>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</si>
  <si>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</si>
  <si>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</si>
  <si>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</si>
  <si>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</si>
  <si>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</si>
  <si>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</si>
  <si>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</si>
  <si>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</si>
  <si>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</si>
  <si>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</si>
  <si>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</si>
  <si>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</si>
  <si>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</si>
  <si>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</si>
  <si>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</si>
  <si>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</si>
  <si>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</si>
  <si>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</si>
  <si>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</si>
  <si>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</si>
  <si>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</si>
  <si>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</si>
  <si>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</si>
  <si>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</si>
  <si>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</si>
  <si>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</si>
  <si>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</si>
  <si>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</si>
  <si>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</si>
  <si>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</si>
  <si>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</si>
  <si>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</si>
  <si>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</si>
  <si>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</si>
  <si>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</si>
  <si>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</si>
  <si>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</si>
  <si>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</si>
  <si>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</si>
  <si>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</si>
  <si>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</si>
  <si>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</si>
  <si>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</si>
  <si>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</si>
  <si>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</si>
  <si>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</si>
  <si>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</si>
  <si>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</si>
  <si>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</si>
  <si>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</si>
  <si>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</si>
  <si>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</si>
  <si>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</si>
  <si>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</si>
  <si>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</si>
  <si>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</si>
  <si>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</si>
  <si>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</si>
  <si>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</si>
  <si>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</si>
  <si>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</si>
  <si>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</si>
  <si>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</si>
  <si>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</si>
  <si>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</si>
  <si>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</si>
  <si>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</si>
  <si>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</si>
  <si>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</si>
  <si>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</si>
  <si>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</si>
  <si>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</si>
  <si>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</si>
  <si>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</si>
  <si>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</si>
  <si>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</si>
  <si>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</si>
  <si>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</si>
  <si>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</si>
  <si>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</si>
  <si>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</si>
  <si>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</si>
  <si>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</si>
  <si>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</si>
  <si>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</si>
  <si>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</si>
  <si>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</si>
  <si>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</si>
  <si>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</si>
  <si>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</si>
  <si>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</si>
  <si>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</si>
  <si>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</si>
  <si>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</si>
  <si>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</si>
  <si>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</si>
  <si>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</si>
  <si>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</si>
  <si>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</si>
  <si>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</si>
  <si>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</si>
  <si>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</si>
  <si>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</si>
  <si>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</si>
  <si>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</si>
  <si>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</si>
  <si>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</si>
  <si>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</si>
  <si>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</si>
  <si>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</si>
  <si>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</si>
  <si>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</si>
  <si>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</si>
  <si>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</si>
  <si>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</si>
  <si>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</si>
  <si>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</si>
  <si>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1910.HK</t>
  </si>
  <si>
    <t>USD</t>
  </si>
  <si>
    <t>US</t>
  </si>
  <si>
    <t>Market Yields</t>
  </si>
  <si>
    <t>Non-controlling Interests</t>
  </si>
  <si>
    <t>Watchlist &amp; Comp_Group:</t>
  </si>
  <si>
    <t>C0001</t>
  </si>
  <si>
    <t>Normalized D/P</t>
  </si>
  <si>
    <t>Symbol:</t>
  </si>
  <si>
    <t>Name:</t>
  </si>
  <si>
    <t>SAMSONITE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</si>
</sst>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5" sqref="C5:D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94"/>
      <c r="E2" s="7"/>
      <c r="F2" s="7"/>
      <c r="G2" s="93"/>
      <c r="H2" s="93"/>
    </row>
    <row r="3" spans="1:10" ht="15.75" customHeight="1" x14ac:dyDescent="0.4">
      <c r="B3" s="3" t="s">
        <v>227</v>
      </c>
      <c r="C3" s="199" t="s">
        <v>219</v>
      </c>
      <c r="D3" s="200"/>
      <c r="E3" s="94"/>
      <c r="F3" s="3" t="s">
        <v>1</v>
      </c>
      <c r="G3" s="171">
        <v>19.079999923706055</v>
      </c>
      <c r="H3" s="173" t="s">
        <v>2</v>
      </c>
    </row>
    <row r="4" spans="1:10" ht="15.75" customHeight="1" x14ac:dyDescent="0.4">
      <c r="B4" s="35" t="s">
        <v>228</v>
      </c>
      <c r="C4" s="201" t="s">
        <v>229</v>
      </c>
      <c r="D4" s="202"/>
      <c r="E4" s="94"/>
      <c r="F4" s="3" t="s">
        <v>3</v>
      </c>
      <c r="G4" s="205">
        <v>1462217799</v>
      </c>
      <c r="H4" s="205"/>
      <c r="I4" s="39"/>
    </row>
    <row r="5" spans="1:10" ht="15.75" customHeight="1" x14ac:dyDescent="0.4">
      <c r="B5" s="3" t="s">
        <v>181</v>
      </c>
      <c r="C5" s="203">
        <v>45591</v>
      </c>
      <c r="D5" s="204"/>
      <c r="E5" s="34"/>
      <c r="F5" s="35" t="s">
        <v>103</v>
      </c>
      <c r="G5" s="197">
        <f>G3*G4/1000000</f>
        <v>27899.115493361634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220</v>
      </c>
      <c r="H6" s="198"/>
      <c r="I6" s="38"/>
    </row>
    <row r="7" spans="1:10" ht="15.75" customHeight="1" x14ac:dyDescent="0.4">
      <c r="B7" s="93" t="s">
        <v>224</v>
      </c>
      <c r="C7" s="190" t="s">
        <v>47</v>
      </c>
      <c r="D7" s="196" t="s">
        <v>225</v>
      </c>
      <c r="E7" s="94"/>
      <c r="F7" s="35" t="s">
        <v>6</v>
      </c>
      <c r="G7" s="172">
        <v>7.770253499348958</v>
      </c>
      <c r="H7" s="77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80" t="s">
        <v>222</v>
      </c>
      <c r="F9" s="186" t="s">
        <v>212</v>
      </c>
    </row>
    <row r="10" spans="1:10" ht="15.75" customHeight="1" x14ac:dyDescent="0.4">
      <c r="B10" s="1" t="s">
        <v>200</v>
      </c>
      <c r="C10" s="170">
        <v>4.2099999999999999E-2</v>
      </c>
      <c r="F10" s="125" t="s">
        <v>208</v>
      </c>
    </row>
    <row r="11" spans="1:10" ht="15.75" customHeight="1" thickBot="1" x14ac:dyDescent="0.45">
      <c r="B11" s="147" t="s">
        <v>204</v>
      </c>
      <c r="C11" s="184">
        <v>5.2900000000000003E-2</v>
      </c>
      <c r="D11" s="177" t="s">
        <v>217</v>
      </c>
      <c r="F11" s="125" t="s">
        <v>202</v>
      </c>
    </row>
    <row r="12" spans="1:10" ht="15.75" customHeight="1" thickTop="1" x14ac:dyDescent="0.4">
      <c r="B12" s="94" t="s">
        <v>143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201</v>
      </c>
      <c r="C14" s="170">
        <v>2.0799999999999999E-2</v>
      </c>
      <c r="F14" s="125" t="s">
        <v>207</v>
      </c>
    </row>
    <row r="15" spans="1:10" ht="15.75" customHeight="1" x14ac:dyDescent="0.4">
      <c r="B15" s="1" t="s">
        <v>213</v>
      </c>
      <c r="C15" s="170">
        <v>6.5000000000000002E-2</v>
      </c>
      <c r="F15" s="125" t="s">
        <v>205</v>
      </c>
    </row>
    <row r="16" spans="1:10" ht="15.75" customHeight="1" thickBot="1" x14ac:dyDescent="0.45">
      <c r="B16" s="147" t="s">
        <v>214</v>
      </c>
      <c r="C16" s="184">
        <v>0.16</v>
      </c>
      <c r="D16" s="195" t="s">
        <v>218</v>
      </c>
      <c r="F16" s="125" t="s">
        <v>203</v>
      </c>
    </row>
    <row r="17" spans="1:8" ht="15.75" customHeight="1" thickTop="1" x14ac:dyDescent="0.4">
      <c r="B17" s="94" t="s">
        <v>206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210</v>
      </c>
      <c r="C19" s="175" t="s">
        <v>53</v>
      </c>
      <c r="D19" s="94"/>
      <c r="E19" s="94"/>
      <c r="F19" s="185" t="s">
        <v>209</v>
      </c>
      <c r="G19" s="94"/>
      <c r="H19" s="94"/>
    </row>
    <row r="20" spans="1:8" ht="15.75" customHeight="1" x14ac:dyDescent="0.4">
      <c r="B20" s="177" t="s">
        <v>188</v>
      </c>
      <c r="C20" s="178">
        <f>Fin_Analysis!F75</f>
        <v>0.40723441233977836</v>
      </c>
      <c r="F20" s="181" t="s">
        <v>196</v>
      </c>
      <c r="G20" s="178">
        <f>Fin_Analysis!F91</f>
        <v>0.1033080260303688</v>
      </c>
    </row>
    <row r="21" spans="1:8" ht="15.75" customHeight="1" x14ac:dyDescent="0.4">
      <c r="B21" s="177" t="s">
        <v>189</v>
      </c>
      <c r="C21" s="178">
        <f>Fin_Analysis!F77</f>
        <v>0.41258418422767756</v>
      </c>
      <c r="F21" s="181" t="s">
        <v>195</v>
      </c>
      <c r="G21" s="178">
        <f>Fin_Analysis!F92</f>
        <v>0.02</v>
      </c>
    </row>
    <row r="22" spans="1:8" ht="15.75" customHeight="1" x14ac:dyDescent="0.4">
      <c r="B22" s="177" t="s">
        <v>190</v>
      </c>
      <c r="C22" s="178">
        <f>Fin_Analysis!F79</f>
        <v>4.6980230284597004E-2</v>
      </c>
      <c r="F22" s="185" t="s">
        <v>211</v>
      </c>
    </row>
    <row r="23" spans="1:8" ht="15.75" customHeight="1" x14ac:dyDescent="0.4">
      <c r="B23" s="177" t="s">
        <v>191</v>
      </c>
      <c r="C23" s="178">
        <f>Fin_Analysis!F80</f>
        <v>0</v>
      </c>
      <c r="F23" s="181" t="s">
        <v>215</v>
      </c>
      <c r="G23" s="188">
        <f>G3/(Data!C34*Data!E3/Common_Shares*Exchange_Rate)</f>
        <v>2.2342891182548992</v>
      </c>
    </row>
    <row r="24" spans="1:8" ht="15.75" customHeight="1" x14ac:dyDescent="0.4">
      <c r="B24" s="177" t="s">
        <v>192</v>
      </c>
      <c r="C24" s="178">
        <f>Fin_Analysis!F81</f>
        <v>0</v>
      </c>
      <c r="F24" s="181" t="s">
        <v>199</v>
      </c>
      <c r="G24" s="182">
        <f>(Fin_Analysis!E86*G7)/G3</f>
        <v>9.5501949714525386E-2</v>
      </c>
    </row>
    <row r="25" spans="1:8" ht="15.75" customHeight="1" x14ac:dyDescent="0.4">
      <c r="B25" s="177" t="s">
        <v>223</v>
      </c>
      <c r="C25" s="178">
        <f>Fin_Analysis!F82</f>
        <v>9.0430154247230065E-3</v>
      </c>
      <c r="F25" s="181" t="s">
        <v>198</v>
      </c>
      <c r="G25" s="178">
        <f>Fin_Analysis!F87</f>
        <v>0.437513987102362</v>
      </c>
    </row>
    <row r="26" spans="1:8" ht="15.75" customHeight="1" x14ac:dyDescent="0.4">
      <c r="B26" s="179" t="s">
        <v>194</v>
      </c>
      <c r="C26" s="178">
        <f>Fin_Analysis!F83</f>
        <v>0.12415815772322404</v>
      </c>
      <c r="F26" s="183" t="s">
        <v>226</v>
      </c>
      <c r="G26" s="182">
        <f>Fin_Analysis!E87*Exchange_Rate/G3</f>
        <v>4.1783438795651287E-2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185</v>
      </c>
      <c r="D28" s="43" t="s">
        <v>186</v>
      </c>
      <c r="E28" s="62"/>
      <c r="F28" s="53" t="s">
        <v>184</v>
      </c>
      <c r="G28" s="93"/>
      <c r="H28" s="93"/>
    </row>
    <row r="29" spans="1:8" ht="15.75" customHeight="1" x14ac:dyDescent="0.4">
      <c r="B29" s="94" t="s">
        <v>187</v>
      </c>
      <c r="C29" s="168">
        <f>IF(Fin_Analysis!C103="Profit",Fin_Analysis!E98,Fin_Analysis!E101)</f>
        <v>15.0480669441076</v>
      </c>
      <c r="D29" s="167">
        <f>IF(Fin_Analysis!C103="Profit",Fin_Analysis!F98,Fin_Analysis!F101)</f>
        <v>25.080111573512664</v>
      </c>
      <c r="E29" s="94"/>
      <c r="F29" s="169">
        <f>IF(Fin_Analysis!C103="Profit",Fin_Analysis!D98,Fin_Analysis!D101)</f>
        <v>20.064089258810132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C1" activePane="topRight" state="frozen"/>
      <selection activeCell="A4" sqref="A4"/>
      <selection pane="topRight" activeCell="C45" sqref="C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3682.4</v>
      </c>
      <c r="D6" s="58">
        <v>2879.6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0.27878872065564675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110</v>
      </c>
      <c r="C8" s="92">
        <v>1499.6</v>
      </c>
      <c r="D8" s="92">
        <v>1274.2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106</v>
      </c>
      <c r="C9" s="101">
        <f t="shared" ref="C9:M9" si="2">IF(C6="","",(C6-C8))</f>
        <v>2182.8000000000002</v>
      </c>
      <c r="D9" s="101">
        <f t="shared" si="2"/>
        <v>1605.3999999999999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108</v>
      </c>
      <c r="C10" s="92">
        <v>1519.3</v>
      </c>
      <c r="D10" s="92">
        <v>1185.2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101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107</v>
      </c>
      <c r="C13" s="101">
        <f>IF(C6="","",(C9-C10+C12))</f>
        <v>663.50000000000023</v>
      </c>
      <c r="D13" s="101">
        <f t="shared" ref="D13:M13" si="4">IF(D6="","",(D9-D10+D12))</f>
        <v>420.19999999999982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112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130</v>
      </c>
      <c r="C17" s="92">
        <v>173</v>
      </c>
      <c r="D17" s="92">
        <v>138.30000000000001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115</v>
      </c>
      <c r="C18" s="92">
        <v>33.299999999999997</v>
      </c>
      <c r="D18" s="92">
        <v>25.6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116</v>
      </c>
      <c r="C19" s="95">
        <f>IF(C6="","",C13-C14-MAX(C15,0)-MAX(C16,0)-C17-MAX(C18/(1-Fin_Analysis!$F$84),0))</f>
        <v>446.10000000000025</v>
      </c>
      <c r="D19" s="95">
        <f>IF(D6="","",D13-D14-MAX(D15,0)-MAX(D16,0)-D17-MAX(D18/(1-Fin_Analysis!$F$84),0))</f>
        <v>247.76666666666648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117</v>
      </c>
      <c r="C20" s="57">
        <f>IF(D19="","",IF(ABS(C19+D19)=ABS(C19)+ABS(D19),IF(C19&lt;0,-1,1)*(C19-D19)/D19,"Turn"))</f>
        <v>0.80048432665142166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118</v>
      </c>
      <c r="C21" s="56">
        <f t="shared" ref="C21:M21" si="6">IF(C6="","",C22/C6)</f>
        <v>9.0857864436237279E-2</v>
      </c>
      <c r="D21" s="56">
        <f t="shared" si="6"/>
        <v>6.4531532157244026E-2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119</v>
      </c>
      <c r="C22" s="102">
        <f>IF(C6="","",C19*(1-Fin_Analysis!$F$84))</f>
        <v>334.57500000000016</v>
      </c>
      <c r="D22" s="95">
        <f>IF(D6="","",D19*(1-Fin_Analysis!$F$84))</f>
        <v>185.82499999999987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139</v>
      </c>
      <c r="C23" s="80">
        <f>IF(D22="","",IF(ABS(C22+D22)=ABS(C22)+ABS(D22),IF(C22&lt;0,-1,1)*(C22-D22)/D22,"Turn"))</f>
        <v>0.80048432665142144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148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5241.1000000000004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1895.1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122</v>
      </c>
      <c r="C27" s="41">
        <f>Fin_Analysis!C13</f>
        <v>346.1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162</v>
      </c>
      <c r="C28" s="41">
        <f>Fin_Analysis!C18</f>
        <v>637.70000000000005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1180.4000000000001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121</v>
      </c>
      <c r="C30" s="41">
        <f>Fin_Analysis!I48</f>
        <v>2453.6999999999998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218.8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2234.7999999999997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2453.6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151</v>
      </c>
      <c r="C34" s="41">
        <f>Fin_Analysis!D3</f>
        <v>1607.0000000000005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152</v>
      </c>
      <c r="C35" s="41">
        <f>Fin_Analysis!D4</f>
        <v>128.10000000000036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150</v>
      </c>
      <c r="C36" s="41">
        <f>Fin_Analysis!C63</f>
        <v>815.5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154</v>
      </c>
      <c r="C37" s="41">
        <f>Fin_Analysis!C68</f>
        <v>4425.6000000000004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174</v>
      </c>
      <c r="C38" s="104">
        <f>IF(C6="","",C19/C37)</f>
        <v>0.10079989154013019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100</v>
      </c>
      <c r="C40" s="61">
        <f t="shared" ref="C40:M40" si="21">IF(C6="","",C8/C6)</f>
        <v>0.40723441233977836</v>
      </c>
      <c r="D40" s="61">
        <f t="shared" si="21"/>
        <v>0.44249201277955275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127</v>
      </c>
      <c r="C41" s="56">
        <f t="shared" ref="C41:M41" si="22">IF(C6="","",(C10-C12)/C6)</f>
        <v>0.41258418422767756</v>
      </c>
      <c r="D41" s="56">
        <f t="shared" si="22"/>
        <v>0.41158494235310461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102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113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128</v>
      </c>
      <c r="C44" s="56">
        <f t="shared" ref="C44:M44" si="25">IF(C6="","",C17/C6)</f>
        <v>4.6980230284597004E-2</v>
      </c>
      <c r="D44" s="56">
        <f t="shared" si="25"/>
        <v>4.8027503819975004E-2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140</v>
      </c>
      <c r="C45" s="56">
        <f>IF(C6="","",MAX(C18,0)/(1-Fin_Analysis!$F$84)/C6)</f>
        <v>1.2057353899630675E-2</v>
      </c>
      <c r="D45" s="56">
        <f>IF(D6="","",MAX(D18,0)/(1-Fin_Analysis!$F$84)/D6)</f>
        <v>1.1853498171042275E-2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131</v>
      </c>
      <c r="C46" s="56">
        <f t="shared" ref="C46:M46" si="26">IF(C6="","",C19/C6)</f>
        <v>0.12114381924831638</v>
      </c>
      <c r="D46" s="56">
        <f t="shared" si="26"/>
        <v>8.6042042876325359E-2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163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160</v>
      </c>
      <c r="C48" s="61">
        <f t="shared" ref="C48:M48" si="27">IF(C6="","",C27/C6)</f>
        <v>9.3987616771670654E-2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161</v>
      </c>
      <c r="C49" s="56">
        <f t="shared" ref="C49:M49" si="28">IF(C6="","",C28/C6)</f>
        <v>0.17317510319356941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132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0.69338497643624419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126</v>
      </c>
      <c r="C52" s="60">
        <f t="shared" ref="C52:M52" si="30">IF(C19="","",IF(C33&lt;=0,"-",C19/C33))</f>
        <v>0.18181447668731671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129</v>
      </c>
      <c r="C53" s="56">
        <f t="shared" ref="C53:M53" si="31">IF(C19="","",IF(C17&lt;=0,"-",C17/C19))</f>
        <v>0.38780542479264718</v>
      </c>
      <c r="D53" s="56">
        <f t="shared" si="31"/>
        <v>0.55818646576079689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1.6054727211114874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3" zoomScale="135" zoomScaleNormal="100" workbookViewId="0">
      <selection activeCell="E80" sqref="E80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33203125" style="1" bestFit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1607.0000000000005</v>
      </c>
      <c r="E3" s="73" t="str">
        <f>IF((C49-I49)=D3,"", "Error!")</f>
        <v/>
      </c>
      <c r="F3" s="94"/>
      <c r="G3" s="94"/>
      <c r="H3" s="47" t="s">
        <v>24</v>
      </c>
      <c r="I3" s="59">
        <v>1478.9</v>
      </c>
      <c r="K3" s="24"/>
    </row>
    <row r="4" spans="1:11" ht="15" customHeight="1" x14ac:dyDescent="0.4">
      <c r="B4" s="3" t="s">
        <v>25</v>
      </c>
      <c r="C4" s="94"/>
      <c r="D4" s="69">
        <f>D3-I3</f>
        <v>128.10000000000036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1.6054727211114874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-2192.2224360484533</v>
      </c>
      <c r="E6" s="56">
        <f>1-D6/D3</f>
        <v>2.3641707753879606</v>
      </c>
      <c r="F6" s="94"/>
      <c r="G6" s="94"/>
      <c r="H6" s="1" t="s">
        <v>30</v>
      </c>
      <c r="I6" s="67">
        <f>(C24+C25)/I28</f>
        <v>1.0652321247034902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0.98407319552693984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35</v>
      </c>
      <c r="E10" s="81" t="s">
        <v>36</v>
      </c>
      <c r="F10" s="126" t="s">
        <v>37</v>
      </c>
      <c r="G10" s="94"/>
      <c r="H10" s="22" t="s">
        <v>38</v>
      </c>
      <c r="I10" s="81" t="s">
        <v>34</v>
      </c>
      <c r="K10" s="24"/>
    </row>
    <row r="11" spans="1:11" ht="15" customHeight="1" x14ac:dyDescent="0.4">
      <c r="B11" s="3" t="s">
        <v>39</v>
      </c>
      <c r="C11" s="63">
        <v>815.5</v>
      </c>
      <c r="D11" s="64">
        <v>1</v>
      </c>
      <c r="E11" s="95">
        <f t="shared" ref="E11:E21" si="0">C11*D11</f>
        <v>815.5</v>
      </c>
      <c r="F11" s="127"/>
      <c r="G11" s="94"/>
      <c r="H11" s="3" t="s">
        <v>40</v>
      </c>
      <c r="I11" s="63">
        <f>67.8+25</f>
        <v>92.8</v>
      </c>
      <c r="J11" s="94"/>
      <c r="K11" s="24"/>
    </row>
    <row r="12" spans="1:11" ht="13.9" x14ac:dyDescent="0.4">
      <c r="B12" s="1" t="s">
        <v>149</v>
      </c>
      <c r="C12" s="63"/>
      <c r="D12" s="64">
        <v>0.95</v>
      </c>
      <c r="E12" s="95">
        <f t="shared" si="0"/>
        <v>0</v>
      </c>
      <c r="F12" s="127"/>
      <c r="G12" s="94"/>
      <c r="H12" s="3" t="s">
        <v>41</v>
      </c>
      <c r="I12" s="63">
        <v>126</v>
      </c>
      <c r="J12" s="94"/>
      <c r="K12" s="24"/>
    </row>
    <row r="13" spans="1:11" ht="13.9" x14ac:dyDescent="0.4">
      <c r="B13" s="3" t="s">
        <v>122</v>
      </c>
      <c r="C13" s="63">
        <v>346.1</v>
      </c>
      <c r="D13" s="64">
        <v>0.8</v>
      </c>
      <c r="E13" s="95">
        <f t="shared" si="0"/>
        <v>276.88000000000005</v>
      </c>
      <c r="F13" s="127"/>
      <c r="G13" s="94"/>
      <c r="H13" s="3" t="s">
        <v>42</v>
      </c>
      <c r="I13" s="63"/>
      <c r="J13" s="94"/>
      <c r="K13" s="26"/>
    </row>
    <row r="14" spans="1:11" ht="13.9" x14ac:dyDescent="0.4">
      <c r="B14" s="3" t="s">
        <v>43</v>
      </c>
      <c r="C14" s="63"/>
      <c r="D14" s="64">
        <v>0.3</v>
      </c>
      <c r="E14" s="95">
        <f>C14*D14</f>
        <v>0</v>
      </c>
      <c r="F14" s="127"/>
      <c r="G14" s="94"/>
      <c r="H14" s="93" t="s">
        <v>44</v>
      </c>
      <c r="I14" s="145"/>
      <c r="J14" s="94"/>
      <c r="K14" s="27"/>
    </row>
    <row r="15" spans="1:11" ht="13.9" x14ac:dyDescent="0.4">
      <c r="B15" s="3" t="s">
        <v>45</v>
      </c>
      <c r="C15" s="63"/>
      <c r="D15" s="64">
        <v>0.05</v>
      </c>
      <c r="E15" s="95">
        <f>C15*D15</f>
        <v>0</v>
      </c>
      <c r="F15" s="127"/>
      <c r="G15" s="94"/>
      <c r="H15" s="1" t="s">
        <v>55</v>
      </c>
      <c r="I15" s="91">
        <f>SUM(I11:I14)</f>
        <v>218.8</v>
      </c>
      <c r="J15" s="94"/>
    </row>
    <row r="16" spans="1:11" ht="13.9" x14ac:dyDescent="0.4">
      <c r="B16" s="1" t="s">
        <v>175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123</v>
      </c>
      <c r="C17" s="63">
        <v>95.8</v>
      </c>
      <c r="D17" s="64">
        <v>0.1</v>
      </c>
      <c r="E17" s="95">
        <f t="shared" si="0"/>
        <v>9.58</v>
      </c>
      <c r="F17" s="127"/>
      <c r="G17" s="94"/>
      <c r="H17" s="3"/>
      <c r="I17" s="40"/>
      <c r="J17" s="94"/>
    </row>
    <row r="18" spans="2:10" ht="13.9" x14ac:dyDescent="0.4">
      <c r="B18" s="3" t="s">
        <v>48</v>
      </c>
      <c r="C18" s="63">
        <v>637.70000000000005</v>
      </c>
      <c r="D18" s="64">
        <v>0.5</v>
      </c>
      <c r="E18" s="95">
        <f t="shared" si="0"/>
        <v>318.85000000000002</v>
      </c>
      <c r="F18" s="127"/>
      <c r="G18" s="94"/>
      <c r="H18" s="94"/>
      <c r="I18" s="94"/>
    </row>
    <row r="19" spans="2:10" ht="13.9" x14ac:dyDescent="0.4">
      <c r="B19" s="1" t="s">
        <v>49</v>
      </c>
      <c r="C19" s="63"/>
      <c r="D19" s="64">
        <v>0.75</v>
      </c>
      <c r="E19" s="95">
        <f t="shared" si="0"/>
        <v>0</v>
      </c>
      <c r="F19" s="128" t="s">
        <v>47</v>
      </c>
      <c r="G19" s="30">
        <f>IF(F19="Y",0,1)</f>
        <v>0</v>
      </c>
    </row>
    <row r="20" spans="2:10" ht="13.9" x14ac:dyDescent="0.4">
      <c r="B20" s="3" t="s">
        <v>125</v>
      </c>
      <c r="C20" s="63"/>
      <c r="D20" s="64">
        <v>0.6</v>
      </c>
      <c r="E20" s="95">
        <f t="shared" si="0"/>
        <v>0</v>
      </c>
      <c r="F20" s="128" t="s">
        <v>47</v>
      </c>
      <c r="G20" s="30">
        <f>IF(F20="Y",0,1)</f>
        <v>0</v>
      </c>
      <c r="H20" s="3"/>
      <c r="I20" s="40"/>
    </row>
    <row r="21" spans="2:10" ht="13.9" x14ac:dyDescent="0.4">
      <c r="B21" s="3" t="s">
        <v>51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52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46</v>
      </c>
      <c r="I22" s="52">
        <f>I28-SUM(I11:I14)</f>
        <v>961.60000000000014</v>
      </c>
    </row>
    <row r="23" spans="2:10" ht="15" customHeight="1" x14ac:dyDescent="0.4">
      <c r="C23" s="94"/>
      <c r="D23" s="94"/>
      <c r="E23" s="94"/>
      <c r="F23" s="126" t="s">
        <v>53</v>
      </c>
      <c r="G23" s="94"/>
    </row>
    <row r="24" spans="2:10" ht="15" customHeight="1" x14ac:dyDescent="0.4">
      <c r="B24" s="23" t="s">
        <v>54</v>
      </c>
      <c r="C24" s="65">
        <f>SUM(C11:C14)</f>
        <v>1161.5999999999999</v>
      </c>
      <c r="D24" s="66">
        <f>IF(E24=0,0,E24/C24)</f>
        <v>0.94040977961432526</v>
      </c>
      <c r="E24" s="95">
        <f>SUM(E11:E14)</f>
        <v>1092.3800000000001</v>
      </c>
      <c r="F24" s="129">
        <f>E24/$E$28</f>
        <v>0.76884312469647609</v>
      </c>
      <c r="G24" s="94"/>
    </row>
    <row r="25" spans="2:10" ht="15" customHeight="1" x14ac:dyDescent="0.4">
      <c r="B25" s="23" t="s">
        <v>56</v>
      </c>
      <c r="C25" s="65">
        <f>SUM(C15:C17)</f>
        <v>95.8</v>
      </c>
      <c r="D25" s="66">
        <f>IF(E25=0,0,E25/C25)</f>
        <v>0.1</v>
      </c>
      <c r="E25" s="95">
        <f>SUM(E15:E17)</f>
        <v>9.58</v>
      </c>
      <c r="F25" s="129">
        <f t="shared" ref="F25:F27" si="2">E25/$E$28</f>
        <v>6.7426327235872502E-3</v>
      </c>
      <c r="G25" s="94"/>
      <c r="H25" s="23" t="s">
        <v>57</v>
      </c>
      <c r="I25" s="67">
        <f>E28/I28</f>
        <v>1.2036682480515077</v>
      </c>
    </row>
    <row r="26" spans="2:10" ht="15" customHeight="1" x14ac:dyDescent="0.4">
      <c r="B26" s="23" t="s">
        <v>58</v>
      </c>
      <c r="C26" s="65">
        <f>C18+C19+C20</f>
        <v>637.70000000000005</v>
      </c>
      <c r="D26" s="66">
        <f t="shared" ref="D26:D27" si="3">IF(E26=0,0,E26/C26)</f>
        <v>0.5</v>
      </c>
      <c r="E26" s="95">
        <f>E18+E19+E20</f>
        <v>318.85000000000002</v>
      </c>
      <c r="F26" s="129">
        <f t="shared" si="2"/>
        <v>0.22441424257993683</v>
      </c>
      <c r="G26" s="94"/>
      <c r="H26" s="23" t="s">
        <v>59</v>
      </c>
      <c r="I26" s="67">
        <f>E24/($I$28-I22)</f>
        <v>4.9925959780621589</v>
      </c>
      <c r="J26" s="8" t="str">
        <f>IF(I26&lt;1,"Liquidity Problem!","")</f>
        <v/>
      </c>
    </row>
    <row r="27" spans="2:10" ht="15" customHeight="1" x14ac:dyDescent="0.4">
      <c r="B27" s="23" t="s">
        <v>60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61</v>
      </c>
      <c r="I27" s="67">
        <f>(E25+E24)/$I$28</f>
        <v>0.93354794984750933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1895.1</v>
      </c>
      <c r="D28" s="61">
        <f t="shared" ref="D28" si="4">E28/C28</f>
        <v>0.74972824653052605</v>
      </c>
      <c r="E28" s="76">
        <f>SUM(E24:E27)</f>
        <v>1420.81</v>
      </c>
      <c r="F28" s="127"/>
      <c r="G28" s="94"/>
      <c r="H28" s="85" t="s">
        <v>16</v>
      </c>
      <c r="I28" s="72"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94"/>
      <c r="D29" s="94"/>
      <c r="E29" s="94"/>
      <c r="F29" s="127" t="s">
        <v>37</v>
      </c>
      <c r="G29" s="94"/>
      <c r="H29" s="94"/>
      <c r="I29" s="94"/>
      <c r="J29" s="94"/>
    </row>
    <row r="30" spans="2:10" ht="15" customHeight="1" x14ac:dyDescent="0.4">
      <c r="B30" s="3" t="s">
        <v>62</v>
      </c>
      <c r="C30" s="63"/>
      <c r="D30" s="64">
        <v>0.95</v>
      </c>
      <c r="E30" s="95">
        <v>0</v>
      </c>
      <c r="F30" s="127"/>
      <c r="G30" s="94"/>
      <c r="H30" s="3" t="s">
        <v>63</v>
      </c>
      <c r="I30" s="63">
        <v>1721</v>
      </c>
      <c r="J30" s="94"/>
    </row>
    <row r="31" spans="2:10" ht="15" customHeight="1" x14ac:dyDescent="0.4">
      <c r="B31" s="3" t="s">
        <v>64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65</v>
      </c>
      <c r="I31" s="63">
        <v>392.6</v>
      </c>
      <c r="J31" s="94"/>
    </row>
    <row r="32" spans="2:10" ht="15" customHeight="1" x14ac:dyDescent="0.4">
      <c r="B32" s="3" t="s">
        <v>66</v>
      </c>
      <c r="C32" s="63"/>
      <c r="D32" s="64">
        <v>0.4</v>
      </c>
      <c r="E32" s="95">
        <f t="shared" si="5"/>
        <v>0</v>
      </c>
      <c r="F32" s="127"/>
      <c r="G32" s="94"/>
      <c r="H32" s="3" t="s">
        <v>67</v>
      </c>
      <c r="I32" s="63"/>
      <c r="J32" s="94"/>
    </row>
    <row r="33" spans="2:10" ht="13.9" x14ac:dyDescent="0.4">
      <c r="B33" s="1" t="s">
        <v>176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68</v>
      </c>
      <c r="I33" s="145">
        <f>121+0.2</f>
        <v>121.2</v>
      </c>
      <c r="J33" s="94"/>
    </row>
    <row r="34" spans="2:10" ht="13.9" x14ac:dyDescent="0.4">
      <c r="B34" s="3" t="s">
        <v>69</v>
      </c>
      <c r="C34" s="63"/>
      <c r="D34" s="64">
        <v>0</v>
      </c>
      <c r="E34" s="95">
        <f t="shared" si="5"/>
        <v>0</v>
      </c>
      <c r="F34" s="127"/>
      <c r="G34" s="94"/>
      <c r="H34" s="1" t="s">
        <v>79</v>
      </c>
      <c r="I34" s="91">
        <f>SUM(I30:I33)</f>
        <v>2234.7999999999997</v>
      </c>
      <c r="J34" s="94"/>
    </row>
    <row r="35" spans="2:10" ht="13.9" x14ac:dyDescent="0.4">
      <c r="B35" s="3" t="s">
        <v>71</v>
      </c>
      <c r="C35" s="63"/>
      <c r="D35" s="64">
        <v>0.1</v>
      </c>
      <c r="E35" s="95">
        <f t="shared" si="5"/>
        <v>0</v>
      </c>
      <c r="F35" s="128" t="s">
        <v>72</v>
      </c>
      <c r="G35" s="30">
        <f>IF(F35="Y",0,1)</f>
        <v>1</v>
      </c>
      <c r="J35" s="94"/>
    </row>
    <row r="36" spans="2:10" ht="13.9" x14ac:dyDescent="0.4">
      <c r="B36" s="3" t="s">
        <v>73</v>
      </c>
      <c r="C36" s="63"/>
      <c r="D36" s="64">
        <v>0.2</v>
      </c>
      <c r="E36" s="95">
        <f t="shared" si="5"/>
        <v>0</v>
      </c>
      <c r="F36" s="128" t="s">
        <v>72</v>
      </c>
      <c r="G36" s="30">
        <f>IF(F36="Y",0,1)</f>
        <v>1</v>
      </c>
      <c r="H36" s="94"/>
      <c r="I36" s="94"/>
    </row>
    <row r="37" spans="2:10" ht="13.9" x14ac:dyDescent="0.4">
      <c r="B37" s="1" t="s">
        <v>50</v>
      </c>
      <c r="C37" s="63"/>
      <c r="D37" s="64">
        <v>0.05</v>
      </c>
      <c r="E37" s="95">
        <f>C37*D37</f>
        <v>0</v>
      </c>
      <c r="F37" s="128" t="s">
        <v>47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124</v>
      </c>
      <c r="C38" s="63">
        <f>231.7+470.1</f>
        <v>701.8</v>
      </c>
      <c r="D38" s="64">
        <v>0.1</v>
      </c>
      <c r="E38" s="95">
        <f>C38*D38</f>
        <v>70.179999999999993</v>
      </c>
      <c r="F38" s="127"/>
      <c r="G38" s="94"/>
      <c r="H38" s="94"/>
      <c r="I38" s="94"/>
    </row>
    <row r="39" spans="2:10" ht="13.9" x14ac:dyDescent="0.4">
      <c r="B39" s="3" t="s">
        <v>74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75</v>
      </c>
      <c r="C40" s="63">
        <v>1525.3</v>
      </c>
      <c r="D40" s="64">
        <v>0.05</v>
      </c>
      <c r="E40" s="95">
        <f t="shared" si="5"/>
        <v>76.265000000000001</v>
      </c>
      <c r="F40" s="127"/>
      <c r="G40" s="94"/>
      <c r="H40" s="94"/>
      <c r="I40" s="94"/>
    </row>
    <row r="41" spans="2:10" ht="15" customHeight="1" x14ac:dyDescent="0.4">
      <c r="B41" s="3" t="s">
        <v>76</v>
      </c>
      <c r="C41" s="63">
        <v>169.3</v>
      </c>
      <c r="D41" s="64">
        <v>0.95</v>
      </c>
      <c r="E41" s="95">
        <f t="shared" si="5"/>
        <v>160.83500000000001</v>
      </c>
      <c r="F41" s="127"/>
      <c r="G41" s="94"/>
      <c r="H41" s="94"/>
      <c r="I41" s="94"/>
    </row>
    <row r="42" spans="2:10" ht="15" customHeight="1" x14ac:dyDescent="0.4">
      <c r="B42" s="3" t="s">
        <v>77</v>
      </c>
      <c r="C42" s="63">
        <f>882.1+67.5</f>
        <v>949.6</v>
      </c>
      <c r="D42" s="64">
        <v>0</v>
      </c>
      <c r="E42" s="95">
        <f t="shared" si="5"/>
        <v>0</v>
      </c>
      <c r="F42" s="127"/>
      <c r="G42" s="94"/>
      <c r="H42" s="3" t="s">
        <v>70</v>
      </c>
      <c r="I42" s="52">
        <f>I48-SUM(I30:I33)</f>
        <v>218.90000000000009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78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80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81</v>
      </c>
      <c r="C46" s="65">
        <f>C36+C37+C38+C39</f>
        <v>701.8</v>
      </c>
      <c r="D46" s="66">
        <f t="shared" ref="D46:D47" si="6">IF(E46=0,0,E46/C46)</f>
        <v>9.9999999999999992E-2</v>
      </c>
      <c r="E46" s="95">
        <f>E36+E37+E38+E39</f>
        <v>70.179999999999993</v>
      </c>
      <c r="F46" s="94"/>
      <c r="G46" s="94"/>
      <c r="H46" s="23" t="s">
        <v>82</v>
      </c>
      <c r="I46" s="67">
        <f>(E44+E24)/E64</f>
        <v>0.44521519400065218</v>
      </c>
      <c r="J46" s="8" t="str">
        <f>IF(I46&lt;1,"Liquidity Problem!","")</f>
        <v>Liquidity Problem!</v>
      </c>
    </row>
    <row r="47" spans="2:10" ht="15" customHeight="1" x14ac:dyDescent="0.4">
      <c r="B47" s="23" t="s">
        <v>83</v>
      </c>
      <c r="C47" s="65">
        <f>C40+C41+C42</f>
        <v>2644.2</v>
      </c>
      <c r="D47" s="66">
        <f t="shared" si="6"/>
        <v>8.9667952499810924E-2</v>
      </c>
      <c r="E47" s="95">
        <f>E40+E41+E42</f>
        <v>237.10000000000002</v>
      </c>
      <c r="F47" s="94"/>
      <c r="G47" s="94"/>
      <c r="H47" s="23" t="s">
        <v>84</v>
      </c>
      <c r="I47" s="67">
        <f>(E44+E45+E24+E25)/$I$49</f>
        <v>0.30322775928015189</v>
      </c>
      <c r="J47" s="8" t="str">
        <f>IF(OR(I47&lt;0.5,C49&lt;I49),"Liquidity Problem!","")</f>
        <v>Liquidity Problem!</v>
      </c>
    </row>
    <row r="48" spans="2:10" ht="15" customHeight="1" thickBot="1" x14ac:dyDescent="0.45">
      <c r="B48" s="87" t="s">
        <v>85</v>
      </c>
      <c r="C48" s="88">
        <f>SUM(C30:C42)</f>
        <v>3346</v>
      </c>
      <c r="D48" s="89">
        <f>E48/C48</f>
        <v>9.1835026897788399E-2</v>
      </c>
      <c r="E48" s="83">
        <f>SUM(E30:E42)</f>
        <v>307.27999999999997</v>
      </c>
      <c r="F48" s="94"/>
      <c r="G48" s="94"/>
      <c r="H48" s="87" t="s">
        <v>86</v>
      </c>
      <c r="I48" s="90">
        <v>2453.6999999999998</v>
      </c>
      <c r="J48" s="8"/>
    </row>
    <row r="49" spans="2:10" ht="15" customHeight="1" thickTop="1" x14ac:dyDescent="0.4">
      <c r="B49" s="3" t="s">
        <v>14</v>
      </c>
      <c r="C49" s="65">
        <f>C28+C48</f>
        <v>5241.1000000000004</v>
      </c>
      <c r="D49" s="56">
        <f>E49/C49</f>
        <v>0.32971895212836994</v>
      </c>
      <c r="E49" s="95">
        <f>E28+E48</f>
        <v>1728.09</v>
      </c>
      <c r="F49" s="94"/>
      <c r="G49" s="94"/>
      <c r="H49" s="3" t="s">
        <v>87</v>
      </c>
      <c r="I49" s="52">
        <f>I28+I48</f>
        <v>3634.1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88</v>
      </c>
      <c r="C51" s="31"/>
      <c r="D51" s="18"/>
    </row>
    <row r="52" spans="2:10" ht="13.9" x14ac:dyDescent="0.4">
      <c r="B52" s="44" t="s">
        <v>89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90</v>
      </c>
      <c r="C53" s="95">
        <f>D4</f>
        <v>128.10000000000036</v>
      </c>
      <c r="D53" s="29">
        <f>IF(E53=0, 0,E53/C53)</f>
        <v>2.2342891182548992</v>
      </c>
      <c r="E53" s="95">
        <f>MAX(C53,C53*Dashboard!G23)</f>
        <v>286.21243604845341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164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91</v>
      </c>
      <c r="C56" s="94"/>
      <c r="D56" s="210">
        <f>I15+I34</f>
        <v>2453.6</v>
      </c>
      <c r="E56" s="211"/>
      <c r="F56" s="3"/>
      <c r="G56" s="3"/>
      <c r="H56" s="94"/>
      <c r="I56" s="56"/>
    </row>
    <row r="57" spans="2:10" ht="13.9" x14ac:dyDescent="0.4">
      <c r="B57" s="20" t="s">
        <v>92</v>
      </c>
      <c r="C57" s="94"/>
      <c r="D57" s="205">
        <v>0</v>
      </c>
      <c r="E57" s="204"/>
      <c r="G57" s="94"/>
      <c r="H57" s="94" t="s">
        <v>93</v>
      </c>
      <c r="I57" s="94"/>
    </row>
    <row r="58" spans="2:10" ht="12.75" customHeight="1" x14ac:dyDescent="0.4">
      <c r="B58" s="20" t="s">
        <v>94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167</v>
      </c>
      <c r="C60" s="3"/>
      <c r="D60" s="82" t="s">
        <v>95</v>
      </c>
      <c r="E60" s="94"/>
      <c r="F60" s="9"/>
      <c r="G60" s="9"/>
      <c r="H60" s="94"/>
      <c r="I60" s="94"/>
    </row>
    <row r="61" spans="2:10" ht="15" customHeight="1" x14ac:dyDescent="0.4">
      <c r="B61" s="19" t="s">
        <v>96</v>
      </c>
      <c r="C61" s="74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94"/>
      <c r="G61" s="94"/>
      <c r="H61" s="94"/>
      <c r="I61" s="94"/>
    </row>
    <row r="62" spans="2:10" ht="13.9" x14ac:dyDescent="0.4">
      <c r="B62" s="35" t="s">
        <v>153</v>
      </c>
      <c r="C62" s="142">
        <f>C11+C30</f>
        <v>815.5</v>
      </c>
      <c r="D62" s="122">
        <f t="shared" si="7"/>
        <v>1</v>
      </c>
      <c r="E62" s="143">
        <f>E11+E30</f>
        <v>815.5</v>
      </c>
      <c r="F62" s="94"/>
      <c r="G62" s="94"/>
      <c r="H62" s="94"/>
      <c r="I62" s="94"/>
    </row>
    <row r="63" spans="2:10" ht="13.9" x14ac:dyDescent="0.4">
      <c r="B63" s="19" t="s">
        <v>155</v>
      </c>
      <c r="C63" s="74">
        <f>C61+C62</f>
        <v>815.5</v>
      </c>
      <c r="D63" s="29">
        <f t="shared" si="7"/>
        <v>1</v>
      </c>
      <c r="E63" s="65">
        <f>E61+E62</f>
        <v>815.5</v>
      </c>
      <c r="F63" s="94"/>
      <c r="G63" s="94"/>
      <c r="H63" s="94"/>
      <c r="I63" s="94"/>
    </row>
    <row r="64" spans="2:10" ht="14.25" thickBot="1" x14ac:dyDescent="0.45">
      <c r="B64" s="146" t="s">
        <v>165</v>
      </c>
      <c r="C64" s="147"/>
      <c r="D64" s="148"/>
      <c r="E64" s="75">
        <f>D56+D57+D58</f>
        <v>2453.6</v>
      </c>
      <c r="F64" s="94"/>
      <c r="G64" s="94"/>
      <c r="H64" s="94"/>
      <c r="I64" s="94"/>
    </row>
    <row r="65" spans="1:9" ht="14.25" thickTop="1" x14ac:dyDescent="0.4">
      <c r="B65" s="3" t="s">
        <v>156</v>
      </c>
      <c r="C65" s="74">
        <f>C63-E64</f>
        <v>-1638.1</v>
      </c>
      <c r="D65" s="29">
        <f t="shared" si="7"/>
        <v>1</v>
      </c>
      <c r="E65" s="65">
        <f>E63-E64</f>
        <v>-1638.1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168</v>
      </c>
      <c r="C67" s="3"/>
      <c r="D67" s="82" t="s">
        <v>95</v>
      </c>
      <c r="E67" s="65"/>
      <c r="F67" s="94"/>
      <c r="G67" s="94"/>
      <c r="H67" s="94"/>
      <c r="I67" s="94"/>
    </row>
    <row r="68" spans="1:9" ht="13.9" x14ac:dyDescent="0.4">
      <c r="B68" s="19" t="s">
        <v>154</v>
      </c>
      <c r="C68" s="74">
        <f>C49-C63</f>
        <v>4425.6000000000004</v>
      </c>
      <c r="D68" s="29">
        <f t="shared" si="7"/>
        <v>0.20620706796818508</v>
      </c>
      <c r="E68" s="74">
        <f>E49-E63</f>
        <v>912.58999999999992</v>
      </c>
      <c r="F68" s="94"/>
      <c r="G68" s="94"/>
      <c r="H68" s="94"/>
      <c r="I68" s="94"/>
    </row>
    <row r="69" spans="1:9" ht="14.25" thickBot="1" x14ac:dyDescent="0.45">
      <c r="B69" s="146" t="s">
        <v>166</v>
      </c>
      <c r="C69" s="147"/>
      <c r="D69" s="148"/>
      <c r="E69" s="160">
        <f>I49-E64</f>
        <v>1180.5</v>
      </c>
      <c r="F69" s="94"/>
      <c r="G69" s="94"/>
      <c r="H69" s="94"/>
      <c r="I69" s="94"/>
    </row>
    <row r="70" spans="1:9" ht="14.25" thickTop="1" x14ac:dyDescent="0.4">
      <c r="B70" s="19" t="s">
        <v>157</v>
      </c>
      <c r="C70" s="74">
        <f>C68-E69</f>
        <v>3245.1000000000004</v>
      </c>
      <c r="D70" s="29">
        <f t="shared" si="7"/>
        <v>-8.2558318695879956E-2</v>
      </c>
      <c r="E70" s="74">
        <f>E68-E69</f>
        <v>-267.91000000000008</v>
      </c>
      <c r="F70" s="94"/>
      <c r="G70" s="94"/>
      <c r="H70" s="94"/>
      <c r="I70" s="94"/>
    </row>
    <row r="72" spans="1:9" ht="15" customHeight="1" x14ac:dyDescent="0.4">
      <c r="A72" s="5"/>
      <c r="B72" s="120" t="s">
        <v>138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1000000USD)</v>
      </c>
      <c r="C73" s="207" t="s">
        <v>104</v>
      </c>
      <c r="D73" s="207"/>
      <c r="E73" s="209" t="s">
        <v>105</v>
      </c>
      <c r="F73" s="207"/>
    </row>
    <row r="74" spans="1:9" ht="15" customHeight="1" x14ac:dyDescent="0.4">
      <c r="B74" s="3" t="s">
        <v>137</v>
      </c>
      <c r="C74" s="95">
        <f>Data!C6</f>
        <v>3682.4</v>
      </c>
      <c r="D74" s="130"/>
      <c r="E74" s="149">
        <f>C74</f>
        <v>3682.4</v>
      </c>
      <c r="F74" s="130"/>
    </row>
    <row r="75" spans="1:9" ht="15" customHeight="1" x14ac:dyDescent="0.4">
      <c r="B75" s="117" t="s">
        <v>110</v>
      </c>
      <c r="C75" s="95">
        <f>Data!C8</f>
        <v>1499.6</v>
      </c>
      <c r="D75" s="131">
        <f>C75/$C$74</f>
        <v>0.40723441233977836</v>
      </c>
      <c r="E75" s="149">
        <f>D75*E74</f>
        <v>1499.6</v>
      </c>
      <c r="F75" s="150">
        <f>E75/$E$74</f>
        <v>0.40723441233977836</v>
      </c>
    </row>
    <row r="76" spans="1:9" ht="15" customHeight="1" x14ac:dyDescent="0.4">
      <c r="B76" s="35" t="s">
        <v>97</v>
      </c>
      <c r="C76" s="118">
        <f>C74-C75</f>
        <v>2182.8000000000002</v>
      </c>
      <c r="D76" s="132"/>
      <c r="E76" s="151">
        <f>E74-E75</f>
        <v>2182.8000000000002</v>
      </c>
      <c r="F76" s="132"/>
    </row>
    <row r="77" spans="1:9" ht="15" customHeight="1" x14ac:dyDescent="0.4">
      <c r="B77" s="117" t="s">
        <v>134</v>
      </c>
      <c r="C77" s="95">
        <f>Data!C10-Data!C12</f>
        <v>1519.3</v>
      </c>
      <c r="D77" s="131">
        <f>C77/$C$74</f>
        <v>0.41258418422767756</v>
      </c>
      <c r="E77" s="149">
        <f>D77*E74</f>
        <v>1519.3</v>
      </c>
      <c r="F77" s="150">
        <f>E77/$E$74</f>
        <v>0.41258418422767756</v>
      </c>
    </row>
    <row r="78" spans="1:9" ht="15" customHeight="1" x14ac:dyDescent="0.4">
      <c r="B78" s="35" t="s">
        <v>98</v>
      </c>
      <c r="C78" s="118">
        <f>C76-C77</f>
        <v>663.50000000000023</v>
      </c>
      <c r="D78" s="132"/>
      <c r="E78" s="151">
        <f>E76-E77</f>
        <v>663.50000000000023</v>
      </c>
      <c r="F78" s="132"/>
    </row>
    <row r="79" spans="1:9" ht="15" customHeight="1" x14ac:dyDescent="0.4">
      <c r="B79" s="117" t="s">
        <v>130</v>
      </c>
      <c r="C79" s="95">
        <f>Data!C17</f>
        <v>173</v>
      </c>
      <c r="D79" s="131">
        <f>C79/$C$74</f>
        <v>4.6980230284597004E-2</v>
      </c>
      <c r="E79" s="149">
        <f>C79</f>
        <v>173</v>
      </c>
      <c r="F79" s="150">
        <f>E79/$E$74</f>
        <v>4.6980230284597004E-2</v>
      </c>
    </row>
    <row r="80" spans="1:9" ht="15" customHeight="1" x14ac:dyDescent="0.4">
      <c r="B80" s="28" t="s">
        <v>136</v>
      </c>
      <c r="C80" s="95">
        <f>Data!C14+MAX(Data!C15,0)</f>
        <v>0</v>
      </c>
      <c r="D80" s="131">
        <f>C80/$C$74</f>
        <v>0</v>
      </c>
      <c r="E80" s="149">
        <v>0</v>
      </c>
      <c r="F80" s="150">
        <f t="shared" ref="F80:F83" si="8">E80/$E$74</f>
        <v>0</v>
      </c>
    </row>
    <row r="81" spans="1:8" ht="15" customHeight="1" x14ac:dyDescent="0.4">
      <c r="B81" s="28" t="s">
        <v>114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142</v>
      </c>
    </row>
    <row r="82" spans="1:8" ht="15" customHeight="1" x14ac:dyDescent="0.4">
      <c r="B82" s="79" t="s">
        <v>193</v>
      </c>
      <c r="C82" s="95">
        <f>MAX(Data!C18,0)</f>
        <v>33.299999999999997</v>
      </c>
      <c r="D82" s="131">
        <f>C82/$C$74</f>
        <v>9.0430154247230065E-3</v>
      </c>
      <c r="E82" s="149">
        <f>E74*D82</f>
        <v>33.299999999999997</v>
      </c>
      <c r="F82" s="150">
        <f t="shared" si="8"/>
        <v>9.0430154247230065E-3</v>
      </c>
    </row>
    <row r="83" spans="1:8" ht="15" customHeight="1" thickBot="1" x14ac:dyDescent="0.45">
      <c r="B83" s="119" t="s">
        <v>135</v>
      </c>
      <c r="C83" s="100">
        <f>C78-C79-C80-C81-C82</f>
        <v>457.20000000000022</v>
      </c>
      <c r="D83" s="133">
        <f>C83/$C$74</f>
        <v>0.12415815772322404</v>
      </c>
      <c r="E83" s="152">
        <f>E78-E79-E80-E81-E82</f>
        <v>457.20000000000022</v>
      </c>
      <c r="F83" s="135">
        <f t="shared" si="8"/>
        <v>0.12415815772322404</v>
      </c>
    </row>
    <row r="84" spans="1:8" ht="15" customHeight="1" thickTop="1" x14ac:dyDescent="0.4">
      <c r="B84" s="28" t="s">
        <v>99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182</v>
      </c>
      <c r="C85" s="118">
        <f>C83*(1-F84)</f>
        <v>342.90000000000015</v>
      </c>
      <c r="D85" s="135">
        <f>C85/$C$74</f>
        <v>9.3118618292418021E-2</v>
      </c>
      <c r="E85" s="154">
        <f>E83*(1-F84)</f>
        <v>342.90000000000015</v>
      </c>
      <c r="F85" s="135">
        <f>E85/$E$74</f>
        <v>9.3118618292418021E-2</v>
      </c>
    </row>
    <row r="86" spans="1:8" ht="15" customHeight="1" x14ac:dyDescent="0.4">
      <c r="B86" s="94" t="s">
        <v>177</v>
      </c>
      <c r="C86" s="161">
        <f>C85*Data!E3/Common_Shares</f>
        <v>0.23450678841039066</v>
      </c>
      <c r="D86" s="130"/>
      <c r="E86" s="163">
        <f>E85*Data!E3/Common_Shares</f>
        <v>0.23450678841039066</v>
      </c>
      <c r="F86" s="130"/>
    </row>
    <row r="87" spans="1:8" ht="15" customHeight="1" x14ac:dyDescent="0.4">
      <c r="B87" s="93" t="s">
        <v>178</v>
      </c>
      <c r="C87" s="164">
        <v>0.1026</v>
      </c>
      <c r="D87" s="135">
        <f>C87/C86</f>
        <v>0.437513987102362</v>
      </c>
      <c r="E87" s="162">
        <v>0.1026</v>
      </c>
      <c r="F87" s="135">
        <f>E87/E86</f>
        <v>0.437513987102362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170</v>
      </c>
      <c r="C89" s="21"/>
      <c r="H89" s="50" t="s">
        <v>146</v>
      </c>
    </row>
    <row r="90" spans="1:8" ht="15" customHeight="1" x14ac:dyDescent="0.4">
      <c r="B90" s="10" t="s">
        <v>171</v>
      </c>
      <c r="D90" s="212" t="s">
        <v>172</v>
      </c>
      <c r="E90" s="212"/>
      <c r="G90" s="94"/>
    </row>
    <row r="91" spans="1:8" ht="15" customHeight="1" x14ac:dyDescent="0.4">
      <c r="B91" s="1" t="s">
        <v>197</v>
      </c>
      <c r="C91" s="174" t="s">
        <v>221</v>
      </c>
      <c r="D91" s="206" t="s">
        <v>173</v>
      </c>
      <c r="E91" s="206"/>
      <c r="F91" s="29">
        <f>E83/C68</f>
        <v>0.1033080260303688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0.08</v>
      </c>
      <c r="D92" s="206" t="s">
        <v>169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141</v>
      </c>
      <c r="C95" s="102">
        <f>E85/(C92-F92)*Exchange_Rate</f>
        <v>44406.998748779319</v>
      </c>
      <c r="D95" s="155">
        <f>C95*Data!$E$3/Common_Shares</f>
        <v>30.369619887782065</v>
      </c>
    </row>
    <row r="96" spans="1:8" ht="15" customHeight="1" x14ac:dyDescent="0.4">
      <c r="B96" s="28" t="s">
        <v>158</v>
      </c>
      <c r="C96" s="102">
        <f>E82*Exchange_Rate</f>
        <v>258.74944152832029</v>
      </c>
      <c r="D96" s="155">
        <f>C96*Data!$E$3/Common_Shares</f>
        <v>0.1769568402910135</v>
      </c>
      <c r="E96" s="94"/>
      <c r="F96" s="138"/>
    </row>
    <row r="97" spans="2:6" ht="15" customHeight="1" thickBot="1" x14ac:dyDescent="0.45">
      <c r="B97" s="119" t="s">
        <v>159</v>
      </c>
      <c r="C97" s="123">
        <f>(E65+MIN(0,E70))*Exchange_Rate</f>
        <v>-14810.180872294108</v>
      </c>
      <c r="D97" s="156">
        <f>C97*Data!$E$3/Common_Shares</f>
        <v>-10.128573788680921</v>
      </c>
      <c r="E97" s="157" t="s">
        <v>144</v>
      </c>
      <c r="F97" s="158" t="s">
        <v>145</v>
      </c>
    </row>
    <row r="98" spans="2:6" ht="15" customHeight="1" thickTop="1" x14ac:dyDescent="0.4">
      <c r="B98" s="1" t="s">
        <v>120</v>
      </c>
      <c r="C98" s="102">
        <f>C95-C96+$C$97</f>
        <v>29338.068434956891</v>
      </c>
      <c r="D98" s="124">
        <f>MAX(C98*Data!$E$3/Common_Shares,0)</f>
        <v>20.064089258810132</v>
      </c>
      <c r="E98" s="124">
        <f>D98*(1-25%)</f>
        <v>15.0480669441076</v>
      </c>
      <c r="F98" s="124">
        <f>D98*1.25</f>
        <v>25.080111573512664</v>
      </c>
    </row>
    <row r="100" spans="2:6" ht="15" customHeight="1" x14ac:dyDescent="0.4">
      <c r="B100" s="10" t="s">
        <v>180</v>
      </c>
      <c r="D100" s="165" t="str">
        <f>D94</f>
        <v>HKD</v>
      </c>
      <c r="E100" s="157" t="s">
        <v>144</v>
      </c>
      <c r="F100" s="158" t="s">
        <v>145</v>
      </c>
    </row>
    <row r="101" spans="2:6" ht="15" customHeight="1" x14ac:dyDescent="0.4">
      <c r="B101" s="1" t="s">
        <v>179</v>
      </c>
      <c r="C101" s="102">
        <f>D101*Common_Shares/Data!E3</f>
        <v>19428.683077828038</v>
      </c>
      <c r="D101" s="155">
        <f>E87/(C92-F92)*Exchange_Rate</f>
        <v>13.287133483886718</v>
      </c>
      <c r="E101" s="124">
        <f>D101*(1-25%)</f>
        <v>9.9653501129150381</v>
      </c>
      <c r="F101" s="124">
        <f>D101*1.25</f>
        <v>16.608916854858396</v>
      </c>
    </row>
    <row r="103" spans="2:6" ht="15" customHeight="1" x14ac:dyDescent="0.4">
      <c r="B103" s="10" t="s">
        <v>183</v>
      </c>
      <c r="C103" s="166" t="s">
        <v>216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2024-10-28T10:26:32Z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