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Data" sheetId="2" r:id="rId5"/>
    <sheet state="visible" name="Bear Model" sheetId="3" r:id="rId6"/>
    <sheet state="visible" name="Base Model" sheetId="4" r:id="rId7"/>
    <sheet state="visible" name="Bull Model" sheetId="5" r:id="rId8"/>
  </sheets>
  <definedNames>
    <definedName localSheetId="3" name="Terminal_Wacc">'Base Model'!$F$5</definedName>
    <definedName name="EXP_EbitGrowth">#REF!</definedName>
    <definedName localSheetId="4" name="Terminal_Wacc">'Bull Model'!$F$5</definedName>
    <definedName name="ModelYear">#REF!</definedName>
    <definedName localSheetId="2" name="Terminal_EbitGrowth">'Bear Model'!$F$4</definedName>
    <definedName localSheetId="3" name="Model_EbitGrowth">'Base Model'!$C$15:$L$15</definedName>
    <definedName localSheetId="4" name="ModelYear">'Bull Model'!$C$8:$L$8</definedName>
    <definedName localSheetId="3" name="Terminal_EbitGrowth">'Base Model'!$F$4</definedName>
    <definedName name="Terminal_EbitGrowth">#REF!</definedName>
    <definedName localSheetId="3" name="EXP_Wacc">'Base Model'!$B$5</definedName>
    <definedName name="EXP_CAP">#REF!</definedName>
    <definedName localSheetId="3" name="Model_NOPAT">'Base Model'!$C$18:$L$18</definedName>
    <definedName localSheetId="2" name="Terminal_Wacc">'Bear Model'!$F$5</definedName>
    <definedName name="Terminal_Reinvest">#REF!</definedName>
    <definedName name="CurrentAsset">Data!$M$6:$M$16</definedName>
    <definedName name="CurrentLiabilities">Data!$N$6:$N$16</definedName>
    <definedName name="MV_NonOpAssets">Data!$F$52</definedName>
    <definedName name="Model_EbitGrowth">#REF!</definedName>
    <definedName localSheetId="2" name="Terminal_Reinvest">#REF!</definedName>
    <definedName localSheetId="4" name="Terminal_EbitGrowth">'Bull Model'!$F$4</definedName>
    <definedName localSheetId="4" name="Model_NOPAT">'Bull Model'!$C$18:$L$18</definedName>
    <definedName name="EbitRange">Data!$E$6:$E$16</definedName>
    <definedName localSheetId="2" name="EXP_Reinvest">'Bear Model'!$B$4</definedName>
    <definedName localSheetId="3" name="EXP_CAP">'Base Model'!$J$4</definedName>
    <definedName localSheetId="3" name="Model_FCFF">'Base Model'!$C$25:$L$25</definedName>
    <definedName name="NetCapexRange">Data!$W$6:$W$16</definedName>
    <definedName name="Model_FCFF">#REF!</definedName>
    <definedName localSheetId="3" name="ModelYear">'Base Model'!$C$8:$L$8</definedName>
    <definedName name="Terminal_Wacc">#REF!</definedName>
    <definedName name="EquityRange">Data!$R$6:$R$16</definedName>
    <definedName localSheetId="2" name="EXP_Wacc">'Bear Model'!$B$5</definedName>
    <definedName name="Model_NOPAT">#REF!</definedName>
    <definedName localSheetId="4" name="Model_FCFF">'Bull Model'!$C$25:$L$25</definedName>
    <definedName localSheetId="2" name="Model_FCFF">'Bear Model'!$C$25:$L$25</definedName>
    <definedName localSheetId="4" name="EXP_CAP">'Bull Model'!$J$4</definedName>
    <definedName localSheetId="2" name="ModelYear">'Bear Model'!$C$8:$L$8</definedName>
    <definedName name="EXP_Reinvest">#REF!</definedName>
    <definedName localSheetId="2" name="EXP_CAP">'Bear Model'!$J$4</definedName>
    <definedName localSheetId="3" name="EXP_EbitGrowth">#REF!</definedName>
    <definedName name="EXP_Wacc">#REF!</definedName>
    <definedName localSheetId="4" name="EXP_Wacc">'Bull Model'!$B$5</definedName>
    <definedName name="CashRange">Data!$T$6:$T$16</definedName>
    <definedName localSheetId="4" name="Model_EbitGrowth">'Bull Model'!$C$15:$L$15</definedName>
    <definedName localSheetId="2" name="Model_NOPAT">'Bear Model'!$C$18:$L$18</definedName>
    <definedName localSheetId="2" name="Model_EbitGrowth">'Bear Model'!$C$15:$L$15</definedName>
    <definedName name="DebtRange">Data!$Q$6:$Q$16</definedName>
    <definedName name="Cs_Shares">Dashboard!$C$7</definedName>
    <definedName localSheetId="3" name="EXP_Reinvest">'Base Model'!$B$4</definedName>
    <definedName localSheetId="4" name="EXP_Reinvest">'Bull Model'!$B$4</definedName>
    <definedName localSheetId="2" name="EXP_EbitGrowth">#REF!</definedName>
    <definedName localSheetId="4" name="EXP_EbitGrowth">#REF!</definedName>
  </definedNames>
  <calcPr/>
</workbook>
</file>

<file path=xl/sharedStrings.xml><?xml version="1.0" encoding="utf-8"?>
<sst xmlns="http://schemas.openxmlformats.org/spreadsheetml/2006/main" count="464" uniqueCount="276">
  <si>
    <t>Company Info:</t>
  </si>
  <si>
    <t>Ticker:</t>
  </si>
  <si>
    <t>601100</t>
  </si>
  <si>
    <t>Ticker Name:</t>
  </si>
  <si>
    <t>恒立液压</t>
  </si>
  <si>
    <t>Valuation Date:</t>
  </si>
  <si>
    <t>Listing Location:</t>
  </si>
  <si>
    <t>CN</t>
  </si>
  <si>
    <t>Current Price:</t>
  </si>
  <si>
    <t>CNY</t>
  </si>
  <si>
    <t>Number of Shares:</t>
  </si>
  <si>
    <t>Capitalization:</t>
  </si>
  <si>
    <t>P/E Ratio:</t>
  </si>
  <si>
    <t>Discount Rate Assumptions</t>
  </si>
  <si>
    <t>P/B Ratio:</t>
  </si>
  <si>
    <t>Risk-free Rate</t>
  </si>
  <si>
    <t>Reporting Currency:</t>
  </si>
  <si>
    <t>Discount rate during CAP</t>
  </si>
  <si>
    <t>Exchange Rate:</t>
  </si>
  <si>
    <t>Discount rate after CAP</t>
  </si>
  <si>
    <t>Valuation Output:</t>
  </si>
  <si>
    <t>Bear</t>
  </si>
  <si>
    <t>Base</t>
  </si>
  <si>
    <t>Bull</t>
  </si>
  <si>
    <t>Length of CAP =</t>
  </si>
  <si>
    <t>EBIT growth rate =</t>
  </si>
  <si>
    <t>Reinvestment Rate =</t>
  </si>
  <si>
    <t>After-Tax ROC =</t>
  </si>
  <si>
    <t>Expected price per share (EP) =</t>
  </si>
  <si>
    <t xml:space="preserve">Margin of Safety = </t>
  </si>
  <si>
    <t>EP after margin of safety =</t>
  </si>
  <si>
    <t>Implied P/E =</t>
  </si>
  <si>
    <t>Estimated Purchase Price</t>
  </si>
  <si>
    <t>IRR given 2 yrs holding period</t>
  </si>
  <si>
    <t>// Exit at Expected Price per share</t>
  </si>
  <si>
    <t>Valuation Assumptions:</t>
  </si>
  <si>
    <t>Business Category</t>
  </si>
  <si>
    <t>业务属于Fast Grower, 未来应为Cyclical and slow grower。</t>
  </si>
  <si>
    <t>Base Case</t>
  </si>
  <si>
    <t>Cyclical market with lower-than-before growth</t>
  </si>
  <si>
    <t>Bear Case</t>
  </si>
  <si>
    <t>Cyclical market with low growth</t>
  </si>
  <si>
    <t>Bull Case</t>
  </si>
  <si>
    <t>Cyclical market with fast growth</t>
  </si>
  <si>
    <t>CAP</t>
  </si>
  <si>
    <t>Stable</t>
  </si>
  <si>
    <t>Value Drivers</t>
  </si>
  <si>
    <t>Base year</t>
  </si>
  <si>
    <t>Length of CAP</t>
  </si>
  <si>
    <t>Operating margin</t>
  </si>
  <si>
    <t>EBIT Growth</t>
  </si>
  <si>
    <t>After-tax ROC</t>
  </si>
  <si>
    <t>After-tax Reinvestment Rate</t>
  </si>
  <si>
    <t>Competitive enviroment analysis to estimate CAP</t>
  </si>
  <si>
    <t>Use the Porter's Five Forces Analysis to estimate the length of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</si>
  <si>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</si>
  <si>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</si>
  <si>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</si>
  <si>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</si>
  <si>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</si>
  <si>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unclear</t>
  </si>
  <si>
    <t>3. There is low customer switching cost.</t>
  </si>
  <si>
    <t>disagree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</si>
  <si>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</si>
  <si>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</si>
  <si>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</si>
  <si>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Strongly agree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</si>
  <si>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</si>
  <si>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</si>
  <si>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</si>
  <si>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</si>
  <si>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</si>
  <si>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</si>
  <si>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</si>
  <si>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</si>
  <si>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</si>
  <si>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</si>
  <si>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</si>
  <si>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</si>
  <si>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agree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</si>
  <si>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</si>
  <si>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</si>
  <si>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</si>
  <si>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</si>
  <si>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</si>
  <si>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</si>
  <si>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</si>
  <si>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</si>
  <si>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</si>
  <si>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</si>
  <si>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</si>
  <si>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</si>
  <si>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</si>
  <si>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</si>
  <si>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</si>
  <si>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</si>
  <si>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</si>
  <si>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</si>
  <si>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</si>
  <si>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perishable.</t>
  </si>
  <si>
    <t>Conclusion: the Industry Competition level is</t>
  </si>
  <si>
    <t>Length of the CAP suggested by the Porter's Five Forces</t>
  </si>
  <si>
    <t>Margin of Safety Recommendation</t>
  </si>
  <si>
    <t>PART I: Valuation Error &amp; Volatility</t>
  </si>
  <si>
    <t>1. Is the business simple and understandable?</t>
  </si>
  <si>
    <t>2. Does the company have low financial leverage?</t>
  </si>
  <si>
    <t>3. Does the company have few error-probed valuation issues (like debt, MI, options, stocks) ?</t>
  </si>
  <si>
    <t>4. Does the company have low frequency and serverity operational risk?</t>
  </si>
  <si>
    <t>5. Does the company have a large capitalization, high popularity (like Tencent/Apple), and good dividend?</t>
  </si>
  <si>
    <t>There is an assumed minimium 10% Valuation Error, and the maximium margin of safty is estimated to be</t>
  </si>
  <si>
    <t>PART II: Quality Score</t>
  </si>
  <si>
    <t>a. Business Tenets:</t>
  </si>
  <si>
    <t>1. Does the company have a consistent operating and earning history?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</si>
  <si>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</si>
  <si>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</si>
  <si>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</si>
  <si>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5. Does the company have a good opeartional risk management history?</t>
  </si>
  <si>
    <t>b. Financial Tenets:</t>
  </si>
  <si>
    <t>1. Are the profit margins attractive (better than industry)?</t>
  </si>
  <si>
    <t xml:space="preserve">2. Can current operations be maintained without too much need to spend? </t>
  </si>
  <si>
    <t>3. Can cash be reinvested at attractive compound rates?</t>
  </si>
  <si>
    <t>4. Is the company's balance sheet strong?</t>
  </si>
  <si>
    <t>5. Does the company have low working capital requirements and fast cash conversion cycle?</t>
  </si>
  <si>
    <t>c. Market Tenets:</t>
  </si>
  <si>
    <t xml:space="preserve">1. Is the company free to adjust prices to inflation? </t>
  </si>
  <si>
    <t>2. Is the company enjoying limited competition?</t>
  </si>
  <si>
    <t>3. Is the company operating in a good industry (structurally more profitable, not driven primarily by price, etc)?</t>
  </si>
  <si>
    <t>4. Is the company less susceptible to econmoic cycle?</t>
  </si>
  <si>
    <t>5. Does the company have a positive ESG value?</t>
  </si>
  <si>
    <t>d. Management Tenets:</t>
  </si>
  <si>
    <t>1. Is the company operated by Owner Operator who is the most knowledgeble and passionate about business?</t>
  </si>
  <si>
    <t>2. Are managers clear and consistent in their communications and actions with stakeholders?</t>
  </si>
  <si>
    <t>3. Has management resisted the temptation to grow quickly by merger?</t>
  </si>
  <si>
    <t>4. Have the managers been buying the stock? Has the company resist buying back stock opportunistically?</t>
  </si>
  <si>
    <t>5. Are managers positively motivated to benefit all stakeholders?</t>
  </si>
  <si>
    <t>the Quality Score estimated to be</t>
  </si>
  <si>
    <t xml:space="preserve">The margin of Safety Recomended is </t>
  </si>
  <si>
    <t>Company statement Inputs</t>
  </si>
  <si>
    <t>Year of the last 10k =</t>
  </si>
  <si>
    <t>Figures in =</t>
  </si>
  <si>
    <t>Last Report =</t>
  </si>
  <si>
    <t>FY</t>
  </si>
  <si>
    <t>LTM Net Income:</t>
  </si>
  <si>
    <t>Sales</t>
  </si>
  <si>
    <t>Sales Growth Rate</t>
  </si>
  <si>
    <t>BV EBIT</t>
  </si>
  <si>
    <t>EBIT Margin</t>
  </si>
  <si>
    <t>NOPAT</t>
  </si>
  <si>
    <t>After Tax 
ROIC</t>
  </si>
  <si>
    <t>Interest Expense</t>
  </si>
  <si>
    <t>Effective Tax Rate</t>
  </si>
  <si>
    <t>Net Income attributed to MI</t>
  </si>
  <si>
    <t>Current Asset</t>
  </si>
  <si>
    <t>Current Liabilities</t>
  </si>
  <si>
    <t>Short Term
Interest-bearing Debt</t>
  </si>
  <si>
    <t>Long Term
Interest-bearing Debt</t>
  </si>
  <si>
    <t>Interest-bearing Debt</t>
  </si>
  <si>
    <t>Equity</t>
  </si>
  <si>
    <t>BV of Minority interests</t>
  </si>
  <si>
    <t>Cash, Cash Equivalents &amp;STI</t>
  </si>
  <si>
    <t>Non-operating Assets</t>
  </si>
  <si>
    <t>Invested Capital</t>
  </si>
  <si>
    <t>Net Capex 
= PP&amp;E Diff.</t>
  </si>
  <si>
    <t>Net Capex/Sales</t>
  </si>
  <si>
    <t>D&amp;A</t>
  </si>
  <si>
    <t>Capex</t>
  </si>
  <si>
    <t>Realized G/L of long-term assets</t>
  </si>
  <si>
    <t>FCInv</t>
  </si>
  <si>
    <t>WC</t>
  </si>
  <si>
    <t>WCInv</t>
  </si>
  <si>
    <t>WC/Sales</t>
  </si>
  <si>
    <t>Reinvestment</t>
  </si>
  <si>
    <t>Data Adjustments</t>
  </si>
  <si>
    <t>1. EBIT Adjustment</t>
  </si>
  <si>
    <t>Perpetual EBIT growth rate =</t>
  </si>
  <si>
    <t>Base year EBIT Adj. approach =</t>
  </si>
  <si>
    <t>No Adjustment</t>
  </si>
  <si>
    <t>1. No Adjustment</t>
  </si>
  <si>
    <t>2. Average after-tax ROC</t>
  </si>
  <si>
    <t>3. Direct Input</t>
  </si>
  <si>
    <t>2. Effective and Marginal Tax rate</t>
  </si>
  <si>
    <t>Marginal Tax rate</t>
  </si>
  <si>
    <t>Effective Tax rate Adj. approach =</t>
  </si>
  <si>
    <t>2. Average Effective Tax Rate</t>
  </si>
  <si>
    <t>3. Direct Input (assume marginal tax rate)</t>
  </si>
  <si>
    <t>3. After-tax ROC</t>
  </si>
  <si>
    <t>1. No Adjustement</t>
  </si>
  <si>
    <t>2. Historical average</t>
  </si>
  <si>
    <t>4. WCInv</t>
  </si>
  <si>
    <t>Adj. approach =</t>
  </si>
  <si>
    <t>Direct Input</t>
  </si>
  <si>
    <t>2. Average WC/Sales</t>
  </si>
  <si>
    <t>5. Market Value of the Debt and Options</t>
  </si>
  <si>
    <t>MV of the Debt</t>
  </si>
  <si>
    <t>MV of the Options</t>
  </si>
  <si>
    <t>6. Market Value of the Non-operating Assets</t>
  </si>
  <si>
    <t>BV of Non-operating Assets = MV?</t>
  </si>
  <si>
    <t>Yes</t>
  </si>
  <si>
    <t>1. BV of Non-operating Assets = MV</t>
  </si>
  <si>
    <t>2. Direct Input</t>
  </si>
  <si>
    <t>7. Market Value of Minority Interests</t>
  </si>
  <si>
    <t>Estimated MV of the MI =</t>
  </si>
  <si>
    <t>BV of the MI</t>
  </si>
  <si>
    <t>1. BV of the MI</t>
  </si>
  <si>
    <t>3. P/E Approach</t>
  </si>
  <si>
    <t>2. P/B Approach</t>
  </si>
  <si>
    <t>4. Direct Input</t>
  </si>
  <si>
    <t>8. R&amp;D Adjustment</t>
  </si>
  <si>
    <t>Capitalize R&amp;D expenses?</t>
  </si>
  <si>
    <t>To amortize R&amp;D expenses in</t>
  </si>
  <si>
    <t>Year</t>
  </si>
  <si>
    <t>R&amp;D Expense</t>
  </si>
  <si>
    <t>Unamortized portion</t>
  </si>
  <si>
    <t>Amortization this year</t>
  </si>
  <si>
    <t>Value of Research Asset =</t>
  </si>
  <si>
    <t>Amortization of Asset for current year =</t>
  </si>
  <si>
    <t>Without capitalizing</t>
  </si>
  <si>
    <t>With capitalizing</t>
  </si>
  <si>
    <t>Operating income</t>
  </si>
  <si>
    <t>Industry</t>
  </si>
  <si>
    <t>Amortization Period</t>
  </si>
  <si>
    <t>Net Income</t>
  </si>
  <si>
    <t>Non-technological Service</t>
  </si>
  <si>
    <t>2 years</t>
  </si>
  <si>
    <t>Invested capital</t>
  </si>
  <si>
    <t>Retail, Tech Service</t>
  </si>
  <si>
    <t>3 years</t>
  </si>
  <si>
    <t>After-tax ROIC</t>
  </si>
  <si>
    <t>Light Manufacturing</t>
  </si>
  <si>
    <t>5 years</t>
  </si>
  <si>
    <t>Heavy  Manufacturing</t>
  </si>
  <si>
    <t>10 years</t>
  </si>
  <si>
    <t>Research, with Patenting</t>
  </si>
  <si>
    <t>Long Gestation Period</t>
  </si>
  <si>
    <t>Net Capex</t>
  </si>
  <si>
    <t>Valuation Output</t>
  </si>
  <si>
    <t>Value Drivers (Scenario Inputs)</t>
  </si>
  <si>
    <t>CAP Drivers</t>
  </si>
  <si>
    <t>Stable Growth Drivers</t>
  </si>
  <si>
    <t>CAP Estimates</t>
  </si>
  <si>
    <t>WC/Sales =</t>
  </si>
  <si>
    <t>Discount Rate =</t>
  </si>
  <si>
    <t>Adjust discount rate at year</t>
  </si>
  <si>
    <t>Output Summary</t>
  </si>
  <si>
    <t>The FCFF for the high growth phase are shown below (upto 10 years)</t>
  </si>
  <si>
    <t>Terminal Year</t>
  </si>
  <si>
    <t>Revenue growth rate</t>
  </si>
  <si>
    <t>Revenue</t>
  </si>
  <si>
    <t>EBIT margin</t>
  </si>
  <si>
    <t>Marginal ROC</t>
  </si>
  <si>
    <t>ROC Exisiting</t>
  </si>
  <si>
    <t>EBIT growth rate</t>
  </si>
  <si>
    <t>EBIT (Operating income)</t>
  </si>
  <si>
    <t>Tax rate</t>
  </si>
  <si>
    <t>ROIC</t>
  </si>
  <si>
    <t>Reinvestment rate</t>
  </si>
  <si>
    <t>FCFF</t>
  </si>
  <si>
    <t>Discount Rate</t>
  </si>
  <si>
    <t>Cumulated Discount factor</t>
  </si>
  <si>
    <t>PV of FCFF</t>
  </si>
  <si>
    <t>FCFF Valuation</t>
  </si>
  <si>
    <t>% Value</t>
  </si>
  <si>
    <t>Values</t>
  </si>
  <si>
    <t>+ PV of FCFF during CAP =</t>
  </si>
  <si>
    <t>+ PV of Terminal Value =</t>
  </si>
  <si>
    <t>+ Non-Operating Asset + Cash</t>
  </si>
  <si>
    <t>Value of Firm =</t>
  </si>
  <si>
    <t>- MV of outstanding debt =</t>
  </si>
  <si>
    <t>Value of Equity =</t>
  </si>
  <si>
    <t>- MV of Minority Interests</t>
  </si>
  <si>
    <t>- MV of Options</t>
  </si>
  <si>
    <t>Value of Equity in Common Stock =</t>
  </si>
  <si>
    <t>Value of equity per share =</t>
  </si>
  <si>
    <t>Valuation Verdict:</t>
  </si>
  <si>
    <t>Given the Current Stock price =</t>
  </si>
  <si>
    <t>,the company 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</si>
</sst>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#,##0&quot;mm&quot;"/>
    <numFmt numFmtId="166" formatCode="0 &quot;Years&quot;"/>
  </numFmts>
  <fonts count="36">
    <font>
      <sz val="10.0"/>
      <color rgb="FF000000"/>
      <name val="Arial"/>
      <scheme val="minor"/>
    </font>
    <font>
      <b/>
      <color rgb="FFFFFFFF"/>
      <name val="Arial"/>
    </font>
    <font>
      <b/>
      <color theme="1"/>
      <name val="Arial"/>
    </font>
    <font>
      <color rgb="FFFFFFFF"/>
      <name val="Arial"/>
    </font>
    <font>
      <color rgb="FF0000FF"/>
      <name val="Arial"/>
    </font>
    <font/>
    <font>
      <color theme="1"/>
      <name val="Arial"/>
    </font>
    <font>
      <color rgb="FF000000"/>
      <name val="Arial"/>
    </font>
    <font>
      <color theme="0"/>
      <name val="Arial"/>
      <scheme val="minor"/>
    </font>
    <font>
      <color theme="0"/>
      <name val="Arial"/>
    </font>
    <font>
      <color rgb="FFA61C00"/>
      <name val="Arial"/>
    </font>
    <font>
      <i/>
      <color theme="1"/>
      <name val="Arial"/>
    </font>
    <font>
      <i/>
      <color rgb="FF000000"/>
      <name val="Arial"/>
    </font>
    <font>
      <b/>
      <i/>
      <color rgb="FF000000"/>
      <name val="Arial"/>
    </font>
    <font>
      <i/>
      <color theme="1"/>
      <name val="Arial"/>
      <scheme val="minor"/>
    </font>
    <font>
      <i/>
      <color rgb="FFFFFFFF"/>
      <name val="Arial"/>
    </font>
    <font>
      <b/>
      <i/>
      <u/>
      <color theme="1"/>
      <name val="Arial"/>
    </font>
    <font>
      <b/>
      <i/>
      <color theme="1"/>
      <name val="Arial"/>
    </font>
    <font>
      <b/>
      <i/>
      <u/>
      <color theme="1"/>
      <name val="Arial"/>
    </font>
    <font>
      <b/>
      <color rgb="FF000000"/>
      <name val="Roboto"/>
    </font>
    <font>
      <color rgb="FFCC4125"/>
      <name val="Arial"/>
    </font>
    <font>
      <color theme="1"/>
      <name val="Arial"/>
      <scheme val="minor"/>
    </font>
    <font>
      <color rgb="FFE06666"/>
      <name val="Arial"/>
    </font>
    <font>
      <color theme="0"/>
      <name val="Helvetica Neue"/>
    </font>
    <font>
      <color theme="1"/>
      <name val="Helvetica Neue"/>
    </font>
    <font>
      <sz val="9.0"/>
      <color theme="0"/>
      <name val="Arial"/>
    </font>
    <font>
      <sz val="9.0"/>
      <color theme="1"/>
      <name val="Arial"/>
    </font>
    <font>
      <i/>
      <u/>
      <sz val="9.0"/>
      <color theme="1"/>
      <name val="Calibri"/>
    </font>
    <font>
      <i/>
      <u/>
      <sz val="9.0"/>
      <color theme="1"/>
      <name val="Calibri"/>
    </font>
    <font>
      <sz val="9.0"/>
      <color theme="1"/>
      <name val="Calibri"/>
    </font>
    <font>
      <sz val="10.0"/>
      <color theme="1"/>
      <name val="Arial"/>
    </font>
    <font>
      <u/>
      <color theme="1"/>
      <name val="Arial"/>
    </font>
    <font>
      <i/>
      <u/>
      <color theme="1"/>
      <name val="Arial"/>
    </font>
    <font>
      <i/>
      <sz val="9.0"/>
      <color rgb="FFFFFFFF"/>
      <name val="Arial"/>
    </font>
    <font>
      <u/>
      <color theme="1"/>
      <name val="Arial"/>
    </font>
    <font>
      <u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rgb="FFB6D7A8"/>
        <bgColor rgb="FFB6D7A8"/>
      </patternFill>
    </fill>
    <fill>
      <patternFill patternType="solid">
        <fgColor rgb="FF3C78D8"/>
        <bgColor rgb="FF3C78D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double">
        <color rgb="FF000000"/>
      </bottom>
    </border>
    <border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horizontal="center"/>
    </xf>
    <xf borderId="1" fillId="4" fontId="3" numFmtId="0" xfId="0" applyBorder="1" applyFill="1" applyFont="1"/>
    <xf borderId="2" fillId="5" fontId="4" numFmtId="49" xfId="0" applyAlignment="1" applyBorder="1" applyFill="1" applyFont="1" applyNumberFormat="1">
      <alignment horizontal="center" readingOrder="0"/>
    </xf>
    <xf borderId="3" fillId="0" fontId="5" numFmtId="0" xfId="0" applyBorder="1" applyFont="1"/>
    <xf borderId="4" fillId="4" fontId="3" numFmtId="0" xfId="0" applyBorder="1" applyFont="1"/>
    <xf borderId="0" fillId="5" fontId="4" numFmtId="0" xfId="0" applyAlignment="1" applyFont="1">
      <alignment horizontal="center" readingOrder="0"/>
    </xf>
    <xf borderId="5" fillId="0" fontId="5" numFmtId="0" xfId="0" applyBorder="1" applyFont="1"/>
    <xf borderId="6" fillId="4" fontId="3" numFmtId="0" xfId="0" applyBorder="1" applyFont="1"/>
    <xf borderId="7" fillId="5" fontId="4" numFmtId="164" xfId="0" applyAlignment="1" applyBorder="1" applyFont="1" applyNumberFormat="1">
      <alignment horizontal="center" readingOrder="0"/>
    </xf>
    <xf borderId="8" fillId="0" fontId="5" numFmtId="0" xfId="0" applyBorder="1" applyFont="1"/>
    <xf borderId="2" fillId="5" fontId="4" numFmtId="0" xfId="0" applyAlignment="1" applyBorder="1" applyFont="1">
      <alignment horizontal="center" readingOrder="0"/>
    </xf>
    <xf borderId="0" fillId="3" fontId="6" numFmtId="0" xfId="0" applyAlignment="1" applyFont="1">
      <alignment horizontal="right" readingOrder="0"/>
    </xf>
    <xf borderId="5" fillId="3" fontId="6" numFmtId="0" xfId="0" applyAlignment="1" applyBorder="1" applyFont="1">
      <alignment horizontal="center" readingOrder="0"/>
    </xf>
    <xf borderId="0" fillId="5" fontId="4" numFmtId="3" xfId="0" applyAlignment="1" applyFont="1" applyNumberFormat="1">
      <alignment horizontal="center" readingOrder="0"/>
    </xf>
    <xf borderId="0" fillId="3" fontId="7" numFmtId="165" xfId="0" applyAlignment="1" applyFont="1" applyNumberFormat="1">
      <alignment horizontal="center"/>
    </xf>
    <xf borderId="2" fillId="3" fontId="6" numFmtId="4" xfId="0" applyAlignment="1" applyBorder="1" applyFont="1" applyNumberFormat="1">
      <alignment horizontal="center"/>
    </xf>
    <xf borderId="0" fillId="2" fontId="8" numFmtId="0" xfId="0" applyAlignment="1" applyFont="1">
      <alignment readingOrder="0"/>
    </xf>
    <xf borderId="0" fillId="2" fontId="8" numFmtId="0" xfId="0" applyFont="1"/>
    <xf borderId="7" fillId="3" fontId="6" numFmtId="4" xfId="0" applyAlignment="1" applyBorder="1" applyFont="1" applyNumberFormat="1">
      <alignment horizontal="center"/>
    </xf>
    <xf borderId="1" fillId="4" fontId="9" numFmtId="0" xfId="0" applyBorder="1" applyFont="1"/>
    <xf borderId="9" fillId="5" fontId="4" numFmtId="10" xfId="0" applyAlignment="1" applyBorder="1" applyFont="1" applyNumberFormat="1">
      <alignment horizontal="center"/>
    </xf>
    <xf borderId="4" fillId="4" fontId="9" numFmtId="0" xfId="0" applyBorder="1" applyFont="1"/>
    <xf borderId="0" fillId="0" fontId="10" numFmtId="0" xfId="0" applyFont="1"/>
    <xf borderId="7" fillId="3" fontId="6" numFmtId="0" xfId="0" applyAlignment="1" applyBorder="1" applyFont="1">
      <alignment horizontal="right"/>
    </xf>
    <xf borderId="8" fillId="3" fontId="6" numFmtId="0" xfId="0" applyAlignment="1" applyBorder="1" applyFont="1">
      <alignment horizontal="center"/>
    </xf>
    <xf borderId="6" fillId="4" fontId="9" numFmtId="0" xfId="0" applyBorder="1" applyFont="1"/>
    <xf borderId="0" fillId="6" fontId="6" numFmtId="0" xfId="0" applyFill="1" applyFont="1"/>
    <xf borderId="10" fillId="2" fontId="3" numFmtId="0" xfId="0" applyAlignment="1" applyBorder="1" applyFont="1">
      <alignment horizontal="center"/>
    </xf>
    <xf borderId="11" fillId="0" fontId="5" numFmtId="0" xfId="0" applyBorder="1" applyFont="1"/>
    <xf borderId="0" fillId="4" fontId="3" numFmtId="0" xfId="0" applyFont="1"/>
    <xf borderId="10" fillId="3" fontId="11" numFmtId="0" xfId="0" applyAlignment="1" applyBorder="1" applyFont="1">
      <alignment horizontal="center"/>
    </xf>
    <xf borderId="10" fillId="3" fontId="11" numFmtId="10" xfId="0" applyAlignment="1" applyBorder="1" applyFont="1" applyNumberFormat="1">
      <alignment horizontal="center"/>
    </xf>
    <xf borderId="0" fillId="4" fontId="3" numFmtId="0" xfId="0" applyAlignment="1" applyFont="1">
      <alignment horizontal="left" readingOrder="0"/>
    </xf>
    <xf borderId="10" fillId="7" fontId="2" numFmtId="2" xfId="0" applyAlignment="1" applyBorder="1" applyFill="1" applyFont="1" applyNumberFormat="1">
      <alignment horizontal="center"/>
    </xf>
    <xf borderId="0" fillId="4" fontId="3" numFmtId="0" xfId="0" applyAlignment="1" applyFont="1">
      <alignment horizontal="left"/>
    </xf>
    <xf borderId="10" fillId="3" fontId="12" numFmtId="10" xfId="0" applyAlignment="1" applyBorder="1" applyFont="1" applyNumberFormat="1">
      <alignment horizontal="center"/>
    </xf>
    <xf borderId="12" fillId="0" fontId="5" numFmtId="0" xfId="0" applyBorder="1" applyFont="1"/>
    <xf borderId="10" fillId="7" fontId="13" numFmtId="4" xfId="0" applyAlignment="1" applyBorder="1" applyFont="1" applyNumberFormat="1">
      <alignment horizontal="center"/>
    </xf>
    <xf borderId="10" fillId="3" fontId="13" numFmtId="4" xfId="0" applyAlignment="1" applyBorder="1" applyFont="1" applyNumberFormat="1">
      <alignment horizontal="center"/>
    </xf>
    <xf borderId="10" fillId="8" fontId="13" numFmtId="4" xfId="0" applyAlignment="1" applyBorder="1" applyFill="1" applyFont="1" applyNumberFormat="1">
      <alignment horizontal="center" readingOrder="0"/>
    </xf>
    <xf borderId="10" fillId="3" fontId="13" numFmtId="10" xfId="0" applyAlignment="1" applyBorder="1" applyFont="1" applyNumberFormat="1">
      <alignment horizontal="center"/>
    </xf>
    <xf borderId="0" fillId="0" fontId="14" numFmtId="0" xfId="0" applyAlignment="1" applyFont="1">
      <alignment readingOrder="0"/>
    </xf>
    <xf borderId="0" fillId="2" fontId="6" numFmtId="0" xfId="0" applyFont="1"/>
    <xf borderId="9" fillId="5" fontId="7" numFmtId="0" xfId="0" applyAlignment="1" applyBorder="1" applyFont="1">
      <alignment horizontal="center" vertical="center"/>
    </xf>
    <xf borderId="10" fillId="5" fontId="4" numFmtId="0" xfId="0" applyAlignment="1" applyBorder="1" applyFont="1">
      <alignment horizontal="center" readingOrder="0" vertical="center"/>
    </xf>
    <xf borderId="9" fillId="5" fontId="7" numFmtId="0" xfId="0" applyAlignment="1" applyBorder="1" applyFont="1">
      <alignment horizontal="center"/>
    </xf>
    <xf borderId="10" fillId="5" fontId="4" numFmtId="0" xfId="0" applyAlignment="1" applyBorder="1" applyFont="1">
      <alignment horizontal="left" readingOrder="0"/>
    </xf>
    <xf borderId="9" fillId="2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9" fillId="2" fontId="15" numFmtId="0" xfId="0" applyAlignment="1" applyBorder="1" applyFont="1">
      <alignment horizontal="center"/>
    </xf>
    <xf borderId="13" fillId="2" fontId="3" numFmtId="0" xfId="0" applyAlignment="1" applyBorder="1" applyFont="1">
      <alignment horizontal="center" vertical="center"/>
    </xf>
    <xf borderId="12" fillId="2" fontId="3" numFmtId="0" xfId="0" applyAlignment="1" applyBorder="1" applyFont="1">
      <alignment horizontal="center"/>
    </xf>
    <xf borderId="11" fillId="2" fontId="3" numFmtId="0" xfId="0" applyAlignment="1" applyBorder="1" applyFont="1">
      <alignment horizontal="center"/>
    </xf>
    <xf borderId="13" fillId="2" fontId="3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/>
    </xf>
    <xf borderId="9" fillId="0" fontId="6" numFmtId="0" xfId="0" applyAlignment="1" applyBorder="1" applyFont="1">
      <alignment horizontal="center" vertical="center"/>
    </xf>
    <xf borderId="14" fillId="0" fontId="5" numFmtId="0" xfId="0" applyBorder="1" applyFont="1"/>
    <xf borderId="9" fillId="5" fontId="7" numFmtId="0" xfId="0" applyAlignment="1" applyBorder="1" applyFont="1">
      <alignment horizontal="center" readingOrder="0" vertical="center"/>
    </xf>
    <xf borderId="9" fillId="3" fontId="6" numFmtId="10" xfId="0" applyAlignment="1" applyBorder="1" applyFont="1" applyNumberFormat="1">
      <alignment horizontal="center" vertical="center"/>
    </xf>
    <xf borderId="10" fillId="8" fontId="7" numFmtId="10" xfId="0" applyAlignment="1" applyBorder="1" applyFont="1" applyNumberFormat="1">
      <alignment horizontal="center" vertical="center"/>
    </xf>
    <xf borderId="9" fillId="8" fontId="7" numFmtId="10" xfId="0" applyAlignment="1" applyBorder="1" applyFont="1" applyNumberFormat="1">
      <alignment horizontal="center" vertical="center"/>
    </xf>
    <xf borderId="9" fillId="8" fontId="6" numFmtId="10" xfId="0" applyAlignment="1" applyBorder="1" applyFont="1" applyNumberFormat="1">
      <alignment horizontal="center" vertical="center"/>
    </xf>
    <xf borderId="10" fillId="3" fontId="6" numFmtId="10" xfId="0" applyAlignment="1" applyBorder="1" applyFont="1" applyNumberFormat="1">
      <alignment horizontal="center" vertical="center"/>
    </xf>
    <xf borderId="0" fillId="0" fontId="6" numFmtId="0" xfId="0" applyFont="1"/>
    <xf borderId="0" fillId="0" fontId="3" numFmtId="10" xfId="0" applyFont="1" applyNumberFormat="1"/>
    <xf borderId="0" fillId="3" fontId="6" numFmtId="0" xfId="0" applyAlignment="1" applyFont="1">
      <alignment horizontal="center"/>
    </xf>
    <xf borderId="0" fillId="0" fontId="3" numFmtId="0" xfId="0" applyFont="1"/>
    <xf borderId="0" fillId="5" fontId="4" numFmtId="0" xfId="0" applyAlignment="1" applyFont="1">
      <alignment horizontal="center"/>
    </xf>
    <xf borderId="0" fillId="7" fontId="6" numFmtId="0" xfId="0" applyAlignment="1" applyFont="1">
      <alignment horizontal="center"/>
    </xf>
    <xf borderId="0" fillId="0" fontId="16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9" numFmtId="0" xfId="0" applyFont="1"/>
    <xf borderId="0" fillId="0" fontId="6" numFmtId="0" xfId="0" applyAlignment="1" applyFont="1">
      <alignment readingOrder="0" shrinkToFit="0" vertical="bottom" wrapText="0"/>
    </xf>
    <xf borderId="0" fillId="0" fontId="17" numFmtId="0" xfId="0" applyFont="1"/>
    <xf borderId="0" fillId="3" fontId="7" numFmtId="10" xfId="0" applyAlignment="1" applyFont="1" applyNumberFormat="1">
      <alignment horizontal="center" vertical="bottom"/>
    </xf>
    <xf borderId="0" fillId="0" fontId="18" numFmtId="0" xfId="0" applyFont="1"/>
    <xf borderId="0" fillId="0" fontId="2" numFmtId="0" xfId="0" applyFont="1"/>
    <xf borderId="0" fillId="5" fontId="6" numFmtId="0" xfId="0" applyAlignment="1" applyFont="1">
      <alignment horizontal="center"/>
    </xf>
    <xf borderId="0" fillId="0" fontId="17" numFmtId="0" xfId="0" applyAlignment="1" applyFont="1">
      <alignment shrinkToFit="0" vertical="bottom" wrapText="0"/>
    </xf>
    <xf borderId="0" fillId="3" fontId="6" numFmtId="10" xfId="0" applyAlignment="1" applyFont="1" applyNumberFormat="1">
      <alignment horizontal="center" vertical="bottom"/>
    </xf>
    <xf borderId="0" fillId="6" fontId="19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7" fontId="6" numFmtId="10" xfId="0" applyAlignment="1" applyFont="1" applyNumberFormat="1">
      <alignment horizontal="center" vertical="bottom"/>
    </xf>
    <xf borderId="0" fillId="6" fontId="2" numFmtId="0" xfId="0" applyFont="1"/>
    <xf borderId="0" fillId="2" fontId="3" numFmtId="0" xfId="0" applyFont="1"/>
    <xf borderId="9" fillId="5" fontId="4" numFmtId="0" xfId="0" applyAlignment="1" applyBorder="1" applyFont="1">
      <alignment horizontal="center"/>
    </xf>
    <xf borderId="9" fillId="5" fontId="4" numFmtId="3" xfId="0" applyAlignment="1" applyBorder="1" applyFont="1" applyNumberFormat="1">
      <alignment horizontal="center"/>
    </xf>
    <xf borderId="9" fillId="5" fontId="4" numFmtId="0" xfId="0" applyAlignment="1" applyBorder="1" applyFont="1">
      <alignment horizontal="center" readingOrder="0"/>
    </xf>
    <xf borderId="9" fillId="5" fontId="4" numFmtId="3" xfId="0" applyAlignment="1" applyBorder="1" applyFont="1" applyNumberFormat="1">
      <alignment horizontal="center" readingOrder="0"/>
    </xf>
    <xf borderId="9" fillId="2" fontId="6" numFmtId="0" xfId="0" applyAlignment="1" applyBorder="1" applyFont="1">
      <alignment shrinkToFit="0" wrapText="1"/>
    </xf>
    <xf borderId="9" fillId="2" fontId="3" numFmtId="0" xfId="0" applyAlignment="1" applyBorder="1" applyFont="1">
      <alignment horizontal="center" shrinkToFit="0" wrapText="1"/>
    </xf>
    <xf borderId="9" fillId="2" fontId="3" numFmtId="0" xfId="0" applyAlignment="1" applyBorder="1" applyFont="1">
      <alignment horizontal="center" readingOrder="0" shrinkToFit="0" wrapText="1"/>
    </xf>
    <xf borderId="0" fillId="6" fontId="6" numFmtId="0" xfId="0" applyAlignment="1" applyFont="1">
      <alignment horizontal="center"/>
    </xf>
    <xf borderId="9" fillId="0" fontId="6" numFmtId="0" xfId="0" applyAlignment="1" applyBorder="1" applyFont="1">
      <alignment horizontal="center"/>
    </xf>
    <xf borderId="9" fillId="5" fontId="6" numFmtId="3" xfId="0" applyAlignment="1" applyBorder="1" applyFont="1" applyNumberFormat="1">
      <alignment readingOrder="0"/>
    </xf>
    <xf borderId="9" fillId="3" fontId="6" numFmtId="10" xfId="0" applyBorder="1" applyFont="1" applyNumberFormat="1"/>
    <xf borderId="9" fillId="3" fontId="6" numFmtId="3" xfId="0" applyAlignment="1" applyBorder="1" applyFont="1" applyNumberFormat="1">
      <alignment horizontal="center"/>
    </xf>
    <xf borderId="9" fillId="3" fontId="6" numFmtId="10" xfId="0" applyAlignment="1" applyBorder="1" applyFont="1" applyNumberFormat="1">
      <alignment horizontal="center"/>
    </xf>
    <xf borderId="9" fillId="5" fontId="6" numFmtId="3" xfId="0" applyAlignment="1" applyBorder="1" applyFont="1" applyNumberFormat="1">
      <alignment horizontal="center" readingOrder="0"/>
    </xf>
    <xf borderId="9" fillId="5" fontId="6" numFmtId="10" xfId="0" applyAlignment="1" applyBorder="1" applyFont="1" applyNumberFormat="1">
      <alignment horizontal="center" readingOrder="0"/>
    </xf>
    <xf borderId="9" fillId="3" fontId="6" numFmtId="3" xfId="0" applyBorder="1" applyFont="1" applyNumberFormat="1"/>
    <xf borderId="9" fillId="5" fontId="6" numFmtId="3" xfId="0" applyBorder="1" applyFont="1" applyNumberFormat="1"/>
    <xf borderId="9" fillId="5" fontId="6" numFmtId="0" xfId="0" applyAlignment="1" applyBorder="1" applyFont="1">
      <alignment readingOrder="0"/>
    </xf>
    <xf borderId="9" fillId="5" fontId="6" numFmtId="3" xfId="0" applyAlignment="1" applyBorder="1" applyFont="1" applyNumberFormat="1">
      <alignment horizontal="center"/>
    </xf>
    <xf borderId="9" fillId="5" fontId="6" numFmtId="10" xfId="0" applyAlignment="1" applyBorder="1" applyFont="1" applyNumberFormat="1">
      <alignment horizontal="center"/>
    </xf>
    <xf borderId="9" fillId="3" fontId="6" numFmtId="0" xfId="0" applyBorder="1" applyFont="1"/>
    <xf borderId="9" fillId="5" fontId="6" numFmtId="0" xfId="0" applyBorder="1" applyFont="1"/>
    <xf borderId="9" fillId="6" fontId="6" numFmtId="10" xfId="0" applyBorder="1" applyFont="1" applyNumberFormat="1"/>
    <xf borderId="9" fillId="6" fontId="6" numFmtId="0" xfId="0" applyBorder="1" applyFont="1"/>
    <xf borderId="9" fillId="5" fontId="6" numFmtId="0" xfId="0" applyAlignment="1" applyBorder="1" applyFont="1">
      <alignment horizontal="center"/>
    </xf>
    <xf borderId="9" fillId="0" fontId="6" numFmtId="10" xfId="0" applyBorder="1" applyFont="1" applyNumberFormat="1"/>
    <xf borderId="0" fillId="7" fontId="6" numFmtId="0" xfId="0" applyAlignment="1" applyFont="1">
      <alignment readingOrder="0"/>
    </xf>
    <xf borderId="0" fillId="7" fontId="6" numFmtId="0" xfId="0" applyFont="1"/>
    <xf borderId="0" fillId="0" fontId="6" numFmtId="0" xfId="0" applyAlignment="1" applyFont="1">
      <alignment readingOrder="0"/>
    </xf>
    <xf borderId="10" fillId="8" fontId="6" numFmtId="10" xfId="0" applyAlignment="1" applyBorder="1" applyFont="1" applyNumberFormat="1">
      <alignment horizontal="center"/>
    </xf>
    <xf borderId="10" fillId="5" fontId="6" numFmtId="0" xfId="0" applyAlignment="1" applyBorder="1" applyFont="1">
      <alignment horizontal="center" readingOrder="0"/>
    </xf>
    <xf borderId="0" fillId="0" fontId="6" numFmtId="10" xfId="0" applyAlignment="1" applyFont="1" applyNumberFormat="1">
      <alignment horizontal="center"/>
    </xf>
    <xf borderId="10" fillId="3" fontId="6" numFmtId="3" xfId="0" applyAlignment="1" applyBorder="1" applyFont="1" applyNumberFormat="1">
      <alignment horizontal="center"/>
    </xf>
    <xf borderId="0" fillId="0" fontId="20" numFmtId="0" xfId="0" applyFont="1"/>
    <xf borderId="10" fillId="5" fontId="6" numFmtId="3" xfId="0" applyAlignment="1" applyBorder="1" applyFont="1" applyNumberFormat="1">
      <alignment horizontal="center"/>
    </xf>
    <xf borderId="10" fillId="5" fontId="6" numFmtId="10" xfId="0" applyAlignment="1" applyBorder="1" applyFont="1" applyNumberFormat="1">
      <alignment horizontal="center"/>
    </xf>
    <xf borderId="0" fillId="0" fontId="21" numFmtId="0" xfId="0" applyAlignment="1" applyFont="1">
      <alignment readingOrder="0"/>
    </xf>
    <xf borderId="0" fillId="0" fontId="8" numFmtId="10" xfId="0" applyAlignment="1" applyFont="1" applyNumberFormat="1">
      <alignment horizontal="left"/>
    </xf>
    <xf borderId="10" fillId="3" fontId="21" numFmtId="10" xfId="0" applyAlignment="1" applyBorder="1" applyFont="1" applyNumberFormat="1">
      <alignment horizontal="center"/>
    </xf>
    <xf borderId="10" fillId="8" fontId="21" numFmtId="10" xfId="0" applyAlignment="1" applyBorder="1" applyFont="1" applyNumberFormat="1">
      <alignment horizontal="center"/>
    </xf>
    <xf borderId="10" fillId="3" fontId="6" numFmtId="10" xfId="0" applyAlignment="1" applyBorder="1" applyFont="1" applyNumberFormat="1">
      <alignment horizontal="center"/>
    </xf>
    <xf borderId="0" fillId="0" fontId="6" numFmtId="0" xfId="0" applyAlignment="1" applyFont="1">
      <alignment horizontal="left"/>
    </xf>
    <xf borderId="10" fillId="5" fontId="6" numFmtId="0" xfId="0" applyAlignment="1" applyBorder="1" applyFont="1">
      <alignment horizontal="center"/>
    </xf>
    <xf borderId="0" fillId="0" fontId="22" numFmtId="0" xfId="0" applyAlignment="1" applyFont="1">
      <alignment horizontal="left"/>
    </xf>
    <xf borderId="10" fillId="5" fontId="6" numFmtId="10" xfId="0" applyAlignment="1" applyBorder="1" applyFont="1" applyNumberFormat="1">
      <alignment horizontal="center" readingOrder="0"/>
    </xf>
    <xf borderId="10" fillId="8" fontId="6" numFmtId="3" xfId="0" applyAlignment="1" applyBorder="1" applyFont="1" applyNumberFormat="1">
      <alignment horizontal="center"/>
    </xf>
    <xf borderId="0" fillId="0" fontId="3" numFmtId="3" xfId="0" applyAlignment="1" applyFont="1" applyNumberFormat="1">
      <alignment horizontal="center"/>
    </xf>
    <xf borderId="10" fillId="5" fontId="6" numFmtId="3" xfId="0" applyBorder="1" applyFont="1" applyNumberFormat="1"/>
    <xf borderId="0" fillId="7" fontId="7" numFmtId="0" xfId="0" applyAlignment="1" applyFont="1">
      <alignment horizontal="left"/>
    </xf>
    <xf borderId="0" fillId="6" fontId="3" numFmtId="3" xfId="0" applyAlignment="1" applyFont="1" applyNumberFormat="1">
      <alignment horizontal="center"/>
    </xf>
    <xf borderId="10" fillId="5" fontId="6" numFmtId="166" xfId="0" applyAlignment="1" applyBorder="1" applyFont="1" applyNumberFormat="1">
      <alignment horizontal="center" readingOrder="0"/>
    </xf>
    <xf borderId="9" fillId="2" fontId="23" numFmtId="2" xfId="0" applyAlignment="1" applyBorder="1" applyFont="1" applyNumberFormat="1">
      <alignment horizontal="center" vertical="bottom"/>
    </xf>
    <xf borderId="10" fillId="2" fontId="23" numFmtId="2" xfId="0" applyAlignment="1" applyBorder="1" applyFont="1" applyNumberFormat="1">
      <alignment horizontal="center" vertical="bottom"/>
    </xf>
    <xf borderId="9" fillId="2" fontId="23" numFmtId="2" xfId="0" applyAlignment="1" applyBorder="1" applyFont="1" applyNumberFormat="1">
      <alignment shrinkToFit="0" vertical="bottom" wrapText="0"/>
    </xf>
    <xf borderId="9" fillId="3" fontId="6" numFmtId="2" xfId="0" applyAlignment="1" applyBorder="1" applyFont="1" applyNumberFormat="1">
      <alignment horizontal="center" vertical="bottom"/>
    </xf>
    <xf borderId="9" fillId="5" fontId="6" numFmtId="1" xfId="0" applyAlignment="1" applyBorder="1" applyFont="1" applyNumberFormat="1">
      <alignment horizontal="center" readingOrder="0" vertical="bottom"/>
    </xf>
    <xf borderId="9" fillId="3" fontId="6" numFmtId="1" xfId="0" applyAlignment="1" applyBorder="1" applyFont="1" applyNumberFormat="1">
      <alignment horizontal="center" vertical="bottom"/>
    </xf>
    <xf borderId="9" fillId="3" fontId="6" numFmtId="1" xfId="0" applyAlignment="1" applyBorder="1" applyFont="1" applyNumberFormat="1">
      <alignment horizontal="right" vertical="bottom"/>
    </xf>
    <xf borderId="9" fillId="5" fontId="6" numFmtId="1" xfId="0" applyAlignment="1" applyBorder="1" applyFont="1" applyNumberFormat="1">
      <alignment horizontal="center" vertical="bottom"/>
    </xf>
    <xf borderId="0" fillId="0" fontId="24" numFmtId="0" xfId="0" applyAlignment="1" applyFont="1">
      <alignment shrinkToFit="0" vertical="bottom" wrapText="0"/>
    </xf>
    <xf borderId="0" fillId="0" fontId="24" numFmtId="0" xfId="0" applyAlignment="1" applyFont="1">
      <alignment vertical="bottom"/>
    </xf>
    <xf borderId="9" fillId="2" fontId="25" numFmtId="0" xfId="0" applyAlignment="1" applyBorder="1" applyFont="1">
      <alignment vertical="bottom"/>
    </xf>
    <xf borderId="9" fillId="2" fontId="25" numFmtId="0" xfId="0" applyAlignment="1" applyBorder="1" applyFont="1">
      <alignment horizontal="center" vertical="bottom"/>
    </xf>
    <xf borderId="9" fillId="2" fontId="25" numFmtId="0" xfId="0" applyAlignment="1" applyBorder="1" applyFont="1">
      <alignment horizontal="center" shrinkToFit="0" vertical="bottom" wrapText="0"/>
    </xf>
    <xf borderId="9" fillId="0" fontId="26" numFmtId="0" xfId="0" applyAlignment="1" applyBorder="1" applyFont="1">
      <alignment vertical="bottom"/>
    </xf>
    <xf borderId="9" fillId="3" fontId="6" numFmtId="3" xfId="0" applyAlignment="1" applyBorder="1" applyFont="1" applyNumberFormat="1">
      <alignment horizontal="center" vertical="bottom"/>
    </xf>
    <xf borderId="9" fillId="3" fontId="6" numFmtId="10" xfId="0" applyAlignment="1" applyBorder="1" applyFont="1" applyNumberFormat="1">
      <alignment horizontal="center" vertical="bottom"/>
    </xf>
    <xf borderId="0" fillId="0" fontId="27" numFmtId="0" xfId="0" applyAlignment="1" applyFont="1">
      <alignment vertical="bottom"/>
    </xf>
    <xf borderId="9" fillId="0" fontId="28" numFmtId="0" xfId="0" applyAlignment="1" applyBorder="1" applyFont="1">
      <alignment vertical="bottom"/>
    </xf>
    <xf borderId="9" fillId="0" fontId="29" numFmtId="0" xfId="0" applyAlignment="1" applyBorder="1" applyFont="1">
      <alignment shrinkToFit="0" vertical="bottom" wrapText="0"/>
    </xf>
    <xf borderId="9" fillId="0" fontId="29" numFmtId="0" xfId="0" applyAlignment="1" applyBorder="1" applyFont="1">
      <alignment vertical="bottom"/>
    </xf>
    <xf borderId="9" fillId="0" fontId="26" numFmtId="0" xfId="0" applyBorder="1" applyFont="1"/>
    <xf borderId="9" fillId="3" fontId="30" numFmtId="3" xfId="0" applyAlignment="1" applyBorder="1" applyFont="1" applyNumberFormat="1">
      <alignment horizontal="center"/>
    </xf>
    <xf borderId="9" fillId="3" fontId="30" numFmtId="10" xfId="0" applyAlignment="1" applyBorder="1" applyFont="1" applyNumberFormat="1">
      <alignment horizontal="center"/>
    </xf>
    <xf borderId="0" fillId="3" fontId="31" numFmtId="0" xfId="0" applyAlignment="1" applyFont="1">
      <alignment horizontal="center"/>
    </xf>
    <xf borderId="0" fillId="0" fontId="32" numFmtId="0" xfId="0" applyFont="1"/>
    <xf borderId="9" fillId="3" fontId="6" numFmtId="0" xfId="0" applyAlignment="1" applyBorder="1" applyFont="1">
      <alignment horizontal="center"/>
    </xf>
    <xf borderId="9" fillId="8" fontId="6" numFmtId="10" xfId="0" applyAlignment="1" applyBorder="1" applyFont="1" applyNumberFormat="1">
      <alignment horizontal="center"/>
    </xf>
    <xf borderId="9" fillId="8" fontId="6" numFmtId="0" xfId="0" applyAlignment="1" applyBorder="1" applyFont="1">
      <alignment horizontal="center"/>
    </xf>
    <xf borderId="13" fillId="2" fontId="33" numFmtId="0" xfId="0" applyBorder="1" applyFont="1"/>
    <xf borderId="13" fillId="2" fontId="3" numFmtId="0" xfId="0" applyAlignment="1" applyBorder="1" applyFont="1">
      <alignment horizontal="center"/>
    </xf>
    <xf borderId="0" fillId="0" fontId="11" numFmtId="0" xfId="0" applyAlignment="1" applyFont="1">
      <alignment horizontal="right"/>
    </xf>
    <xf borderId="0" fillId="3" fontId="6" numFmtId="4" xfId="0" applyAlignment="1" applyFont="1" applyNumberFormat="1">
      <alignment horizontal="center"/>
    </xf>
    <xf borderId="0" fillId="3" fontId="6" numFmtId="10" xfId="0" applyAlignment="1" applyFont="1" applyNumberFormat="1">
      <alignment horizontal="center"/>
    </xf>
    <xf borderId="0" fillId="3" fontId="6" numFmtId="3" xfId="0" applyAlignment="1" applyFont="1" applyNumberFormat="1">
      <alignment horizontal="center"/>
    </xf>
    <xf borderId="0" fillId="0" fontId="6" numFmtId="0" xfId="0" applyAlignment="1" applyFont="1">
      <alignment horizontal="right"/>
    </xf>
    <xf borderId="0" fillId="5" fontId="6" numFmtId="10" xfId="0" applyAlignment="1" applyFont="1" applyNumberFormat="1">
      <alignment horizontal="center" readingOrder="0"/>
    </xf>
    <xf borderId="0" fillId="5" fontId="6" numFmtId="10" xfId="0" applyAlignment="1" applyFont="1" applyNumberFormat="1">
      <alignment horizontal="center"/>
    </xf>
    <xf borderId="0" fillId="0" fontId="6" numFmtId="10" xfId="0" applyAlignment="1" applyFont="1" applyNumberFormat="1">
      <alignment horizontal="right"/>
    </xf>
    <xf borderId="0" fillId="8" fontId="11" numFmtId="10" xfId="0" applyAlignment="1" applyFont="1" applyNumberFormat="1">
      <alignment horizontal="right" readingOrder="0"/>
    </xf>
    <xf borderId="0" fillId="8" fontId="11" numFmtId="10" xfId="0" applyAlignment="1" applyFont="1" applyNumberFormat="1">
      <alignment horizontal="right"/>
    </xf>
    <xf borderId="2" fillId="0" fontId="6" numFmtId="0" xfId="0" applyAlignment="1" applyBorder="1" applyFont="1">
      <alignment horizontal="right"/>
    </xf>
    <xf borderId="2" fillId="0" fontId="6" numFmtId="0" xfId="0" applyAlignment="1" applyBorder="1" applyFont="1">
      <alignment horizontal="center"/>
    </xf>
    <xf borderId="2" fillId="3" fontId="6" numFmtId="10" xfId="0" applyAlignment="1" applyBorder="1" applyFont="1" applyNumberFormat="1">
      <alignment horizontal="center"/>
    </xf>
    <xf borderId="2" fillId="0" fontId="6" numFmtId="0" xfId="0" applyBorder="1" applyFont="1"/>
    <xf borderId="2" fillId="3" fontId="6" numFmtId="3" xfId="0" applyAlignment="1" applyBorder="1" applyFont="1" applyNumberFormat="1">
      <alignment horizontal="center"/>
    </xf>
    <xf borderId="0" fillId="3" fontId="6" numFmtId="1" xfId="0" applyAlignment="1" applyFont="1" applyNumberFormat="1">
      <alignment horizontal="center"/>
    </xf>
    <xf borderId="0" fillId="5" fontId="6" numFmtId="3" xfId="0" applyAlignment="1" applyFont="1" applyNumberFormat="1">
      <alignment horizontal="center" readingOrder="0"/>
    </xf>
    <xf borderId="0" fillId="5" fontId="6" numFmtId="3" xfId="0" applyAlignment="1" applyFont="1" applyNumberFormat="1">
      <alignment horizontal="center"/>
    </xf>
    <xf borderId="0" fillId="0" fontId="6" numFmtId="3" xfId="0" applyAlignment="1" applyFont="1" applyNumberFormat="1">
      <alignment horizontal="center"/>
    </xf>
    <xf borderId="0" fillId="3" fontId="11" numFmtId="3" xfId="0" applyAlignment="1" applyFont="1" applyNumberFormat="1">
      <alignment horizontal="right"/>
    </xf>
    <xf borderId="0" fillId="8" fontId="11" numFmtId="3" xfId="0" applyAlignment="1" applyFont="1" applyNumberFormat="1">
      <alignment horizontal="right"/>
    </xf>
    <xf borderId="0" fillId="0" fontId="11" numFmtId="3" xfId="0" applyAlignment="1" applyFont="1" applyNumberFormat="1">
      <alignment horizontal="right"/>
    </xf>
    <xf borderId="0" fillId="0" fontId="6" numFmtId="1" xfId="0" applyAlignment="1" applyFont="1" applyNumberFormat="1">
      <alignment horizontal="center"/>
    </xf>
    <xf borderId="15" fillId="0" fontId="6" numFmtId="0" xfId="0" applyBorder="1" applyFont="1"/>
    <xf borderId="15" fillId="3" fontId="6" numFmtId="1" xfId="0" applyAlignment="1" applyBorder="1" applyFont="1" applyNumberFormat="1">
      <alignment horizontal="center"/>
    </xf>
    <xf borderId="15" fillId="3" fontId="6" numFmtId="3" xfId="0" applyAlignment="1" applyBorder="1" applyFont="1" applyNumberFormat="1">
      <alignment horizontal="center"/>
    </xf>
    <xf borderId="15" fillId="0" fontId="6" numFmtId="3" xfId="0" applyAlignment="1" applyBorder="1" applyFont="1" applyNumberFormat="1">
      <alignment horizontal="center"/>
    </xf>
    <xf borderId="0" fillId="0" fontId="6" numFmtId="0" xfId="0" applyAlignment="1" applyFont="1">
      <alignment horizontal="left" readingOrder="0"/>
    </xf>
    <xf borderId="0" fillId="0" fontId="11" numFmtId="0" xfId="0" applyAlignment="1" applyFont="1">
      <alignment horizontal="right" readingOrder="0"/>
    </xf>
    <xf borderId="0" fillId="3" fontId="6" numFmtId="10" xfId="0" applyAlignment="1" applyFont="1" applyNumberFormat="1">
      <alignment horizontal="right"/>
    </xf>
    <xf borderId="15" fillId="3" fontId="6" numFmtId="10" xfId="0" applyAlignment="1" applyBorder="1" applyFont="1" applyNumberFormat="1">
      <alignment horizontal="center"/>
    </xf>
    <xf borderId="16" fillId="0" fontId="6" numFmtId="0" xfId="0" applyBorder="1" applyFont="1"/>
    <xf borderId="16" fillId="3" fontId="6" numFmtId="3" xfId="0" applyAlignment="1" applyBorder="1" applyFont="1" applyNumberFormat="1">
      <alignment horizontal="center"/>
    </xf>
    <xf borderId="16" fillId="3" fontId="6" numFmtId="1" xfId="0" applyAlignment="1" applyBorder="1" applyFont="1" applyNumberFormat="1">
      <alignment horizontal="center"/>
    </xf>
    <xf borderId="7" fillId="3" fontId="6" numFmtId="3" xfId="0" applyAlignment="1" applyBorder="1" applyFont="1" applyNumberFormat="1">
      <alignment horizontal="center"/>
    </xf>
    <xf borderId="15" fillId="0" fontId="11" numFmtId="0" xfId="0" applyAlignment="1" applyBorder="1" applyFont="1">
      <alignment horizontal="right"/>
    </xf>
    <xf borderId="15" fillId="0" fontId="6" numFmtId="0" xfId="0" applyAlignment="1" applyBorder="1" applyFont="1">
      <alignment horizontal="center"/>
    </xf>
    <xf borderId="7" fillId="0" fontId="6" numFmtId="0" xfId="0" applyBorder="1" applyFont="1"/>
    <xf borderId="7" fillId="0" fontId="6" numFmtId="0" xfId="0" applyAlignment="1" applyBorder="1" applyFont="1">
      <alignment horizontal="center"/>
    </xf>
    <xf quotePrefix="1" borderId="0" fillId="0" fontId="6" numFmtId="0" xfId="0" applyAlignment="1" applyFont="1">
      <alignment readingOrder="0"/>
    </xf>
    <xf borderId="7" fillId="0" fontId="5" numFmtId="0" xfId="0" applyBorder="1" applyFont="1"/>
    <xf borderId="12" fillId="3" fontId="6" numFmtId="3" xfId="0" applyAlignment="1" applyBorder="1" applyFont="1" applyNumberFormat="1">
      <alignment horizontal="center"/>
    </xf>
    <xf borderId="2" fillId="3" fontId="6" numFmtId="0" xfId="0" applyAlignment="1" applyBorder="1" applyFont="1">
      <alignment horizontal="center"/>
    </xf>
    <xf borderId="12" fillId="7" fontId="2" numFmtId="2" xfId="0" applyAlignment="1" applyBorder="1" applyFont="1" applyNumberFormat="1">
      <alignment horizontal="center"/>
    </xf>
    <xf borderId="12" fillId="3" fontId="6" numFmtId="0" xfId="0" applyAlignment="1" applyBorder="1" applyFont="1">
      <alignment horizontal="center"/>
    </xf>
    <xf borderId="9" fillId="7" fontId="34" numFmtId="10" xfId="0" applyAlignment="1" applyBorder="1" applyFont="1" applyNumberFormat="1">
      <alignment horizontal="center"/>
    </xf>
    <xf borderId="0" fillId="3" fontId="35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.63"/>
    <col customWidth="1" min="2" max="2" width="28.25"/>
    <col customWidth="1" min="3" max="7" width="13.88"/>
    <col customWidth="1" min="8" max="8" width="12.63"/>
    <col customWidth="1" min="9" max="9" width="40.13"/>
  </cols>
  <sheetData>
    <row r="1" ht="15.75" customHeight="1">
      <c r="B1" s="1" t="s">
        <v>0</v>
      </c>
      <c r="C1" s="2" t="str">
        <f>C2&amp;" : "&amp;C3</f>
        <v>601100 : 恒立液压</v>
      </c>
    </row>
    <row r="2" ht="15.75" customHeight="1">
      <c r="B2" s="3" t="s">
        <v>1</v>
      </c>
      <c r="C2" s="4" t="s">
        <v>2</v>
      </c>
      <c r="D2" s="5"/>
    </row>
    <row r="3" ht="15.75" customHeight="1">
      <c r="B3" s="6" t="s">
        <v>3</v>
      </c>
      <c r="C3" s="7" t="s">
        <v>4</v>
      </c>
      <c r="D3" s="8"/>
    </row>
    <row r="4" ht="15.75" customHeight="1">
      <c r="B4" s="9" t="s">
        <v>5</v>
      </c>
      <c r="C4" s="10">
        <v>44678.0</v>
      </c>
      <c r="D4" s="11"/>
    </row>
    <row r="5" ht="15.75" customHeight="1">
      <c r="B5" s="3" t="s">
        <v>6</v>
      </c>
      <c r="C5" s="12" t="s">
        <v>7</v>
      </c>
      <c r="D5" s="5"/>
    </row>
    <row r="6" ht="15.75" customHeight="1">
      <c r="B6" s="6" t="s">
        <v>8</v>
      </c>
      <c r="C6" s="13">
        <v>41.76</v>
      </c>
      <c r="D6" s="14" t="s">
        <v>9</v>
      </c>
    </row>
    <row r="7" ht="15.75" customHeight="1">
      <c r="B7" s="6" t="s">
        <v>10</v>
      </c>
      <c r="C7" s="15">
        <v>1.30536E9</v>
      </c>
      <c r="D7" s="8"/>
    </row>
    <row r="8" ht="15.75" customHeight="1">
      <c r="B8" s="6" t="s">
        <v>11</v>
      </c>
      <c r="C8" s="16">
        <f>C6*C7/1000000</f>
        <v>54511.8336</v>
      </c>
      <c r="D8" s="8"/>
    </row>
    <row r="9" ht="15.75" customHeight="1">
      <c r="B9" s="3" t="s">
        <v>12</v>
      </c>
      <c r="C9" s="17">
        <f>Dashboard!C6/((Data!F3*Dashboard!C12)/(Dashboard!C7/Data!F2))</f>
        <v>20.23753846</v>
      </c>
      <c r="D9" s="5"/>
      <c r="F9" s="18" t="s">
        <v>13</v>
      </c>
      <c r="G9" s="19"/>
    </row>
    <row r="10" ht="15.75" customHeight="1">
      <c r="B10" s="9" t="s">
        <v>14</v>
      </c>
      <c r="C10" s="20">
        <f>Dashboard!C6/(IF(Data!R6="",Data!R7,Data!R6)*Data!F2/Cs_Shares)</f>
        <v>5.900015218</v>
      </c>
      <c r="D10" s="11"/>
      <c r="F10" s="21" t="s">
        <v>15</v>
      </c>
      <c r="G10" s="5"/>
      <c r="H10" s="22">
        <v>0.03</v>
      </c>
    </row>
    <row r="11" ht="15.75" customHeight="1">
      <c r="B11" s="3" t="s">
        <v>16</v>
      </c>
      <c r="C11" s="12" t="s">
        <v>9</v>
      </c>
      <c r="D11" s="5"/>
      <c r="F11" s="23" t="s">
        <v>17</v>
      </c>
      <c r="G11" s="8"/>
      <c r="H11" s="22">
        <f>H10+4.5%</f>
        <v>0.075</v>
      </c>
      <c r="I11" s="24" t="str">
        <f>IF(H11&gt;6%,"","Be careful with the long-term debt cycle")</f>
        <v/>
      </c>
    </row>
    <row r="12" ht="15.75" customHeight="1">
      <c r="B12" s="9" t="s">
        <v>18</v>
      </c>
      <c r="C12" s="25">
        <f>IFERROR(__xludf.DUMMYFUNCTION("if(D12=""NA"",1,GOOGLEFINANCE(""Currency:""&amp;D12))"),1.0)</f>
        <v>1</v>
      </c>
      <c r="D12" s="26" t="str">
        <f>IF(C11=Dashboard!D6,"NA",C11&amp;Dashboard!D6)</f>
        <v>NA</v>
      </c>
      <c r="F12" s="27" t="s">
        <v>19</v>
      </c>
      <c r="G12" s="11"/>
      <c r="H12" s="22">
        <f>H10+6.75%</f>
        <v>0.0975</v>
      </c>
      <c r="I12" s="24" t="str">
        <f>IF(H12&gt;8%,"","Be careful with the long-term debt cycle")</f>
        <v/>
      </c>
    </row>
    <row r="13" ht="15.75" customHeight="1">
      <c r="E13" s="28"/>
    </row>
    <row r="14" ht="15.75" customHeight="1">
      <c r="B14" s="1" t="s">
        <v>20</v>
      </c>
      <c r="C14" s="29" t="s">
        <v>21</v>
      </c>
      <c r="D14" s="30"/>
      <c r="E14" s="29" t="s">
        <v>22</v>
      </c>
      <c r="F14" s="30"/>
      <c r="G14" s="29" t="s">
        <v>23</v>
      </c>
      <c r="H14" s="30"/>
    </row>
    <row r="15" ht="15.75" customHeight="1">
      <c r="B15" s="31" t="s">
        <v>24</v>
      </c>
      <c r="C15" s="32">
        <f>Dashboard!D34</f>
        <v>4</v>
      </c>
      <c r="D15" s="30"/>
      <c r="E15" s="32">
        <f>Dashboard!E34</f>
        <v>6</v>
      </c>
      <c r="F15" s="30"/>
      <c r="G15" s="32">
        <f>Dashboard!F34</f>
        <v>8</v>
      </c>
      <c r="H15" s="30"/>
    </row>
    <row r="16" ht="15.75" customHeight="1">
      <c r="B16" s="31" t="s">
        <v>25</v>
      </c>
      <c r="C16" s="33">
        <f>Dashboard!D36</f>
        <v>0.07953356901</v>
      </c>
      <c r="D16" s="30"/>
      <c r="E16" s="33">
        <f>Dashboard!E36</f>
        <v>0.1026727949</v>
      </c>
      <c r="F16" s="30"/>
      <c r="G16" s="33">
        <f>Dashboard!F36</f>
        <v>0.1375600837</v>
      </c>
      <c r="H16" s="30"/>
    </row>
    <row r="17" ht="15.75" customHeight="1">
      <c r="B17" s="31" t="s">
        <v>26</v>
      </c>
      <c r="C17" s="33">
        <f>Dashboard!D38</f>
        <v>0.2545124344</v>
      </c>
      <c r="D17" s="30"/>
      <c r="E17" s="33">
        <f>Dashboard!E38</f>
        <v>0.3063086476</v>
      </c>
      <c r="F17" s="30"/>
      <c r="G17" s="33">
        <f>Dashboard!F38</f>
        <v>0.3789644352</v>
      </c>
      <c r="H17" s="30"/>
    </row>
    <row r="18" ht="15.75" customHeight="1">
      <c r="B18" s="31" t="s">
        <v>27</v>
      </c>
      <c r="C18" s="33">
        <f>Dashboard!D37</f>
        <v>0.3124938441</v>
      </c>
      <c r="D18" s="30"/>
      <c r="E18" s="33">
        <f>Dashboard!E37</f>
        <v>0.3351939152</v>
      </c>
      <c r="F18" s="30"/>
      <c r="G18" s="33">
        <f>Dashboard!F37</f>
        <v>0.3629894283</v>
      </c>
      <c r="H18" s="30"/>
    </row>
    <row r="19" ht="15.75" customHeight="1">
      <c r="B19" s="34" t="s">
        <v>28</v>
      </c>
      <c r="C19" s="35">
        <f>'Bear Model'!E41</f>
        <v>28.06091188</v>
      </c>
      <c r="D19" s="30"/>
      <c r="E19" s="35">
        <f>'Base Model'!E41</f>
        <v>34.82572187</v>
      </c>
      <c r="F19" s="30"/>
      <c r="G19" s="35">
        <f>'Bull Model'!E41</f>
        <v>46.77708706</v>
      </c>
      <c r="H19" s="30"/>
    </row>
    <row r="20" ht="15.75" customHeight="1">
      <c r="B20" s="36" t="s">
        <v>29</v>
      </c>
      <c r="C20" s="37">
        <f>H124</f>
        <v>0.158125</v>
      </c>
      <c r="D20" s="38"/>
      <c r="E20" s="38"/>
      <c r="F20" s="38"/>
      <c r="G20" s="38"/>
      <c r="H20" s="30"/>
    </row>
    <row r="21" ht="15.75" customHeight="1">
      <c r="B21" s="34" t="s">
        <v>30</v>
      </c>
      <c r="C21" s="39">
        <f>Dashboard!C19*(1-C20)</f>
        <v>23.62378019</v>
      </c>
      <c r="D21" s="30"/>
      <c r="E21" s="39">
        <f>Dashboard!E19*(1-C20)</f>
        <v>29.3189046</v>
      </c>
      <c r="F21" s="30"/>
      <c r="G21" s="39">
        <f>Dashboard!G19*(1-C20)</f>
        <v>39.38046017</v>
      </c>
      <c r="H21" s="30"/>
    </row>
    <row r="22" ht="15.75" customHeight="1">
      <c r="B22" s="36" t="s">
        <v>31</v>
      </c>
      <c r="C22" s="40">
        <f>C21/((Data!$F$3*Data!$F$2)/$C$7)</f>
        <v>11.44844732</v>
      </c>
      <c r="D22" s="30"/>
      <c r="E22" s="40">
        <f>E21/((Data!$F$3*Data!$F$2)/$C$7)</f>
        <v>14.20839223</v>
      </c>
      <c r="F22" s="30"/>
      <c r="G22" s="40">
        <f>G21/((Data!$F$3*Data!$F$2)/$C$7)</f>
        <v>19.08437685</v>
      </c>
      <c r="H22" s="30"/>
    </row>
    <row r="23" ht="15.75" customHeight="1">
      <c r="B23" s="34" t="s">
        <v>32</v>
      </c>
      <c r="C23" s="41">
        <v>32.0</v>
      </c>
      <c r="D23" s="38"/>
      <c r="E23" s="38"/>
      <c r="F23" s="38"/>
      <c r="G23" s="38"/>
      <c r="H23" s="30"/>
    </row>
    <row r="24" ht="15.75" customHeight="1">
      <c r="B24" s="34" t="s">
        <v>33</v>
      </c>
      <c r="C24" s="42">
        <f t="array" ref="C24">IRR({-$C$23,0,C19})</f>
        <v>-0.06356874447</v>
      </c>
      <c r="D24" s="30"/>
      <c r="E24" s="42">
        <f t="array" ref="E24">IRR({-$C$23,0,E19})</f>
        <v>0.04321800625</v>
      </c>
      <c r="F24" s="30"/>
      <c r="G24" s="42">
        <f t="array" ref="G24">IRR({-$C$23,0,G19})</f>
        <v>0.2090425843</v>
      </c>
      <c r="H24" s="30"/>
      <c r="I24" s="43" t="s">
        <v>34</v>
      </c>
    </row>
    <row r="25" ht="15.75" customHeight="1"/>
    <row r="26" ht="15.75" customHeight="1">
      <c r="B26" s="1" t="s">
        <v>35</v>
      </c>
      <c r="C26" s="44"/>
    </row>
    <row r="27" ht="27.75" customHeight="1">
      <c r="B27" s="45" t="s">
        <v>36</v>
      </c>
      <c r="C27" s="46" t="s">
        <v>37</v>
      </c>
      <c r="D27" s="38"/>
      <c r="E27" s="38"/>
      <c r="F27" s="38"/>
      <c r="G27" s="38"/>
      <c r="H27" s="38"/>
      <c r="I27" s="30"/>
    </row>
    <row r="28" ht="15.75" customHeight="1">
      <c r="B28" s="47" t="s">
        <v>38</v>
      </c>
      <c r="C28" s="48" t="s">
        <v>39</v>
      </c>
      <c r="D28" s="38"/>
      <c r="E28" s="38"/>
      <c r="F28" s="38"/>
      <c r="G28" s="38"/>
      <c r="H28" s="38"/>
      <c r="I28" s="30"/>
    </row>
    <row r="29" ht="15.75" customHeight="1">
      <c r="B29" s="47" t="s">
        <v>40</v>
      </c>
      <c r="C29" s="48" t="s">
        <v>41</v>
      </c>
      <c r="D29" s="38"/>
      <c r="E29" s="38"/>
      <c r="F29" s="38"/>
      <c r="G29" s="38"/>
      <c r="H29" s="38"/>
      <c r="I29" s="30"/>
    </row>
    <row r="30" ht="15.75" customHeight="1">
      <c r="B30" s="47" t="s">
        <v>42</v>
      </c>
      <c r="C30" s="48" t="s">
        <v>43</v>
      </c>
      <c r="D30" s="38"/>
      <c r="E30" s="38"/>
      <c r="F30" s="38"/>
      <c r="G30" s="38"/>
      <c r="H30" s="38"/>
      <c r="I30" s="30"/>
    </row>
    <row r="31" ht="15.75" customHeight="1">
      <c r="F31" s="28"/>
    </row>
    <row r="32" ht="15.75" customHeight="1">
      <c r="D32" s="29" t="s">
        <v>44</v>
      </c>
      <c r="E32" s="38"/>
      <c r="F32" s="30"/>
      <c r="G32" s="49" t="s">
        <v>45</v>
      </c>
      <c r="H32" s="50"/>
    </row>
    <row r="33" ht="15.75" customHeight="1">
      <c r="B33" s="51" t="s">
        <v>46</v>
      </c>
      <c r="C33" s="52" t="s">
        <v>47</v>
      </c>
      <c r="D33" s="29" t="s">
        <v>21</v>
      </c>
      <c r="E33" s="53" t="s">
        <v>22</v>
      </c>
      <c r="F33" s="54" t="s">
        <v>23</v>
      </c>
      <c r="G33" s="55" t="s">
        <v>38</v>
      </c>
      <c r="H33" s="56"/>
      <c r="I33" s="56"/>
    </row>
    <row r="34" ht="30.0" customHeight="1">
      <c r="B34" s="57" t="s">
        <v>48</v>
      </c>
      <c r="C34" s="58"/>
      <c r="D34" s="59">
        <v>4.0</v>
      </c>
      <c r="E34" s="45">
        <f>H88</f>
        <v>6</v>
      </c>
      <c r="F34" s="45">
        <f>E34+2</f>
        <v>8</v>
      </c>
      <c r="G34" s="58"/>
      <c r="H34" s="56"/>
      <c r="I34" s="56"/>
    </row>
    <row r="35" ht="30.0" customHeight="1">
      <c r="B35" s="57" t="s">
        <v>49</v>
      </c>
      <c r="C35" s="60">
        <f>IF(Data!D66="No",Data!C84,Data!D84)</f>
        <v>0.3771656487</v>
      </c>
      <c r="D35" s="61">
        <f>AVERAGE('Bear Model'!C12:L12)</f>
        <v>0.3158735911</v>
      </c>
      <c r="E35" s="62">
        <f>AVERAGE('Base Model'!C12:L12)</f>
        <v>0.3158735911</v>
      </c>
      <c r="F35" s="61">
        <f>AVERAGE('Bull Model'!C12:L12)</f>
        <v>0.3158735911</v>
      </c>
      <c r="G35" s="63">
        <f>'Base Model'!M12</f>
        <v>0.3158735911</v>
      </c>
      <c r="H35" s="56"/>
      <c r="I35" s="56"/>
    </row>
    <row r="36" ht="30.0" customHeight="1">
      <c r="B36" s="57" t="s">
        <v>50</v>
      </c>
      <c r="C36" s="60">
        <f>Data!$G$6</f>
        <v>0.09658190462</v>
      </c>
      <c r="D36" s="61">
        <f>Iferror(GEOMEAN('Bear Model'!C15:L15),AVERAGE('Bear Model'!C15:L15))</f>
        <v>0.07953356901</v>
      </c>
      <c r="E36" s="62">
        <f>Iferror(GEOMEAN('Base Model'!C15:L15),AVERAGE('Base Model'!C15:L15))</f>
        <v>0.1026727949</v>
      </c>
      <c r="F36" s="61">
        <f>Iferror(GEOMEAN('Bull Model'!C15:L15),AVERAGE('Bull Model'!C15:L15))</f>
        <v>0.1375600837</v>
      </c>
      <c r="G36" s="63">
        <f>H10</f>
        <v>0.03</v>
      </c>
      <c r="H36" s="56"/>
      <c r="I36" s="56"/>
    </row>
    <row r="37" ht="30.0" customHeight="1">
      <c r="B37" s="57" t="s">
        <v>51</v>
      </c>
      <c r="C37" s="60">
        <f>IF(Data!D66="No",Data!C88,Data!D88)</f>
        <v>0.424758061</v>
      </c>
      <c r="D37" s="64">
        <f>average('Bear Model'!C19:L19)</f>
        <v>0.3124938441</v>
      </c>
      <c r="E37" s="60">
        <f>average('Base Model'!C19:L19)</f>
        <v>0.3351939152</v>
      </c>
      <c r="F37" s="64">
        <f>average('Bull Model'!C19:L19)</f>
        <v>0.3629894283</v>
      </c>
      <c r="G37" s="63">
        <f>H12</f>
        <v>0.0975</v>
      </c>
      <c r="H37" s="56"/>
      <c r="I37" s="56"/>
    </row>
    <row r="38" ht="30.0" customHeight="1">
      <c r="B38" s="57" t="s">
        <v>52</v>
      </c>
      <c r="C38" s="60">
        <f>IF(Data!D66="No",Data!C95,Data!D95)</f>
        <v>0.329575075</v>
      </c>
      <c r="D38" s="64">
        <f t="shared" ref="D38:G38" si="1">D36/D37</f>
        <v>0.2545124344</v>
      </c>
      <c r="E38" s="60">
        <f t="shared" si="1"/>
        <v>0.3063086476</v>
      </c>
      <c r="F38" s="64">
        <f t="shared" si="1"/>
        <v>0.3789644352</v>
      </c>
      <c r="G38" s="63">
        <f t="shared" si="1"/>
        <v>0.3076923077</v>
      </c>
      <c r="H38" s="56"/>
      <c r="I38" s="56"/>
    </row>
    <row r="39" ht="15.75" customHeight="1"/>
    <row r="40" ht="15.75" customHeight="1">
      <c r="B40" s="1" t="s">
        <v>53</v>
      </c>
      <c r="C40" s="1"/>
      <c r="D40" s="56"/>
    </row>
    <row r="41" ht="15.75" customHeight="1">
      <c r="B41" s="65" t="s">
        <v>54</v>
      </c>
      <c r="D41" s="56"/>
    </row>
    <row r="42" ht="15.75" customHeight="1">
      <c r="B42" s="65" t="s">
        <v>55</v>
      </c>
      <c r="D42" s="56"/>
    </row>
    <row r="43" ht="15.75" customHeight="1">
      <c r="B43" s="65" t="s">
        <v>56</v>
      </c>
      <c r="E43" s="56"/>
      <c r="G43" s="66">
        <f>sum(G44:G51)/(8*4)</f>
        <v>0.4375</v>
      </c>
      <c r="H43" s="67" t="str">
        <f>IF(G43&gt;80%,"Very High",IF(G43&lt;=20%,"Very Low",IF(G43&lt;=40%,"Low",IF(G43&lt;=60%,"Medium","High"))))</f>
        <v>Medium</v>
      </c>
    </row>
    <row r="44" ht="15.75" customHeight="1">
      <c r="B44" s="65" t="s">
        <v>57</v>
      </c>
      <c r="E44" s="56"/>
      <c r="G44" s="68">
        <f t="shared" ref="G44:G51" si="2">ratingValue(H44)</f>
        <v>0</v>
      </c>
      <c r="H44" s="7" t="s">
        <v>58</v>
      </c>
    </row>
    <row r="45" ht="15.75" customHeight="1">
      <c r="B45" s="65" t="s">
        <v>59</v>
      </c>
      <c r="E45" s="56"/>
      <c r="G45" s="68">
        <f t="shared" si="2"/>
        <v>2</v>
      </c>
      <c r="H45" s="7" t="s">
        <v>60</v>
      </c>
    </row>
    <row r="46" ht="15.75" customHeight="1">
      <c r="B46" s="65" t="s">
        <v>61</v>
      </c>
      <c r="E46" s="56"/>
      <c r="G46" s="68">
        <f t="shared" si="2"/>
        <v>1</v>
      </c>
      <c r="H46" s="7" t="s">
        <v>62</v>
      </c>
    </row>
    <row r="47" ht="15.75" customHeight="1">
      <c r="B47" s="65" t="s">
        <v>63</v>
      </c>
      <c r="E47" s="56"/>
      <c r="G47" s="68">
        <f t="shared" si="2"/>
        <v>0</v>
      </c>
      <c r="H47" s="7" t="s">
        <v>58</v>
      </c>
    </row>
    <row r="48" ht="15.75" customHeight="1">
      <c r="B48" s="65" t="s">
        <v>64</v>
      </c>
      <c r="E48" s="56"/>
      <c r="G48" s="68">
        <f t="shared" si="2"/>
        <v>1</v>
      </c>
      <c r="H48" s="7" t="s">
        <v>62</v>
      </c>
    </row>
    <row r="49" ht="15.75" customHeight="1">
      <c r="B49" s="65" t="s">
        <v>65</v>
      </c>
      <c r="E49" s="56"/>
      <c r="G49" s="68">
        <f t="shared" si="2"/>
        <v>4</v>
      </c>
      <c r="H49" s="7" t="s">
        <v>66</v>
      </c>
    </row>
    <row r="50" ht="15.75" customHeight="1">
      <c r="B50" s="65" t="s">
        <v>67</v>
      </c>
      <c r="E50" s="56"/>
      <c r="G50" s="68">
        <f t="shared" si="2"/>
        <v>4</v>
      </c>
      <c r="H50" s="7" t="s">
        <v>66</v>
      </c>
    </row>
    <row r="51" ht="15.75" customHeight="1">
      <c r="B51" s="65" t="s">
        <v>68</v>
      </c>
      <c r="G51" s="68">
        <f t="shared" si="2"/>
        <v>2</v>
      </c>
      <c r="H51" s="7" t="s">
        <v>60</v>
      </c>
    </row>
    <row r="52" ht="15.75" customHeight="1">
      <c r="G52" s="68"/>
      <c r="H52" s="56"/>
    </row>
    <row r="53" ht="15.75" customHeight="1">
      <c r="B53" s="65" t="s">
        <v>69</v>
      </c>
      <c r="E53" s="56"/>
      <c r="G53" s="66">
        <f>SUM(G54:G59)/(6*4)</f>
        <v>0.375</v>
      </c>
      <c r="H53" s="67" t="str">
        <f>IF(G53&gt;80%,"Very High",IF(G53&lt;=20%,"Very Low",IF(G53&lt;=40%,"Low",IF(G53&lt;=60%,"Medium","High"))))</f>
        <v>Low</v>
      </c>
    </row>
    <row r="54" ht="15.75" customHeight="1">
      <c r="B54" s="65" t="s">
        <v>70</v>
      </c>
      <c r="E54" s="56"/>
      <c r="G54" s="68">
        <f t="shared" ref="G54:G59" si="3">ratingValue(H54)</f>
        <v>1</v>
      </c>
      <c r="H54" s="7" t="s">
        <v>62</v>
      </c>
    </row>
    <row r="55" ht="15.75" customHeight="1">
      <c r="B55" s="65" t="s">
        <v>71</v>
      </c>
      <c r="E55" s="56"/>
      <c r="G55" s="68">
        <f t="shared" si="3"/>
        <v>4</v>
      </c>
      <c r="H55" s="7" t="s">
        <v>66</v>
      </c>
    </row>
    <row r="56" ht="15.75" customHeight="1">
      <c r="B56" s="65" t="s">
        <v>72</v>
      </c>
      <c r="E56" s="56"/>
      <c r="G56" s="68">
        <f t="shared" si="3"/>
        <v>0</v>
      </c>
      <c r="H56" s="7" t="s">
        <v>58</v>
      </c>
    </row>
    <row r="57" ht="15.75" customHeight="1">
      <c r="B57" s="65" t="s">
        <v>73</v>
      </c>
      <c r="E57" s="56"/>
      <c r="G57" s="68">
        <f t="shared" si="3"/>
        <v>0</v>
      </c>
      <c r="H57" s="7" t="s">
        <v>58</v>
      </c>
    </row>
    <row r="58" ht="15.75" customHeight="1">
      <c r="B58" s="65" t="s">
        <v>74</v>
      </c>
      <c r="E58" s="56"/>
      <c r="G58" s="68">
        <f t="shared" si="3"/>
        <v>4</v>
      </c>
      <c r="H58" s="7" t="s">
        <v>66</v>
      </c>
    </row>
    <row r="59" ht="15.75" customHeight="1">
      <c r="B59" s="65" t="s">
        <v>75</v>
      </c>
      <c r="E59" s="56"/>
      <c r="G59" s="68">
        <f t="shared" si="3"/>
        <v>0</v>
      </c>
      <c r="H59" s="69" t="s">
        <v>58</v>
      </c>
    </row>
    <row r="60" ht="15.75" customHeight="1">
      <c r="G60" s="68"/>
      <c r="H60" s="56"/>
      <c r="I60" s="56"/>
    </row>
    <row r="61" ht="15.75" customHeight="1">
      <c r="B61" s="65" t="s">
        <v>76</v>
      </c>
      <c r="E61" s="56"/>
      <c r="G61" s="66">
        <f>SUM(G62:G69)/(8*4)</f>
        <v>0.46875</v>
      </c>
      <c r="H61" s="67" t="str">
        <f>IF(G61&gt;80%,"Very High",IF(G61&lt;=20%,"Very Low",IF(G61&lt;=40%,"Low",IF(G61&lt;=60%,"Medium","High"))))</f>
        <v>Medium</v>
      </c>
    </row>
    <row r="62" ht="15.75" customHeight="1">
      <c r="B62" s="65" t="s">
        <v>77</v>
      </c>
      <c r="E62" s="56"/>
      <c r="G62" s="68">
        <f t="shared" ref="G62:G69" si="4">ratingValue(H62)</f>
        <v>4</v>
      </c>
      <c r="H62" s="69" t="s">
        <v>66</v>
      </c>
    </row>
    <row r="63" ht="15.75" customHeight="1">
      <c r="B63" s="65" t="s">
        <v>78</v>
      </c>
      <c r="E63" s="56"/>
      <c r="G63" s="68">
        <f t="shared" si="4"/>
        <v>3</v>
      </c>
      <c r="H63" s="7" t="s">
        <v>79</v>
      </c>
    </row>
    <row r="64" ht="15.75" customHeight="1">
      <c r="B64" s="65" t="s">
        <v>80</v>
      </c>
      <c r="E64" s="56"/>
      <c r="G64" s="68">
        <f t="shared" si="4"/>
        <v>1</v>
      </c>
      <c r="H64" s="7" t="s">
        <v>62</v>
      </c>
    </row>
    <row r="65" ht="15.75" customHeight="1">
      <c r="B65" s="65" t="s">
        <v>81</v>
      </c>
      <c r="E65" s="56"/>
      <c r="G65" s="68">
        <f t="shared" si="4"/>
        <v>1</v>
      </c>
      <c r="H65" s="7" t="s">
        <v>62</v>
      </c>
    </row>
    <row r="66" ht="15.75" customHeight="1">
      <c r="B66" s="65" t="s">
        <v>82</v>
      </c>
      <c r="E66" s="56"/>
      <c r="G66" s="68">
        <f t="shared" si="4"/>
        <v>3</v>
      </c>
      <c r="H66" s="69" t="s">
        <v>79</v>
      </c>
    </row>
    <row r="67" ht="15.75" customHeight="1">
      <c r="B67" s="65" t="s">
        <v>83</v>
      </c>
      <c r="E67" s="56"/>
      <c r="G67" s="68">
        <f t="shared" si="4"/>
        <v>1</v>
      </c>
      <c r="H67" s="69" t="s">
        <v>62</v>
      </c>
    </row>
    <row r="68" ht="15.75" customHeight="1">
      <c r="B68" s="65" t="s">
        <v>84</v>
      </c>
      <c r="E68" s="56"/>
      <c r="G68" s="68">
        <f t="shared" si="4"/>
        <v>0</v>
      </c>
      <c r="H68" s="7" t="s">
        <v>58</v>
      </c>
    </row>
    <row r="69" ht="15.75" customHeight="1">
      <c r="B69" s="65" t="s">
        <v>85</v>
      </c>
      <c r="E69" s="56"/>
      <c r="G69" s="68">
        <f t="shared" si="4"/>
        <v>2</v>
      </c>
      <c r="H69" s="7" t="s">
        <v>60</v>
      </c>
    </row>
    <row r="70" ht="15.75" customHeight="1">
      <c r="G70" s="68"/>
      <c r="H70" s="56"/>
    </row>
    <row r="71" ht="15.75" customHeight="1">
      <c r="B71" s="65" t="s">
        <v>86</v>
      </c>
      <c r="E71" s="56"/>
      <c r="G71" s="66">
        <f>SUM(G72:G74)/(3*4)</f>
        <v>0</v>
      </c>
      <c r="H71" s="67" t="str">
        <f>IF(G71&gt;80%,"Very High",IF(G71&lt;=20%,"Very Low",IF(G71&lt;=40%,"Low",IF(G71&lt;=60%,"Medium","High"))))</f>
        <v>Very Low</v>
      </c>
    </row>
    <row r="72" ht="15.75" customHeight="1">
      <c r="B72" s="65" t="s">
        <v>87</v>
      </c>
      <c r="E72" s="56"/>
      <c r="G72" s="68">
        <f t="shared" ref="G72:G74" si="5">ratingValue(H72)</f>
        <v>0</v>
      </c>
      <c r="H72" s="69" t="s">
        <v>58</v>
      </c>
    </row>
    <row r="73" ht="15.75" customHeight="1">
      <c r="B73" s="65" t="s">
        <v>88</v>
      </c>
      <c r="E73" s="56"/>
      <c r="G73" s="68">
        <f t="shared" si="5"/>
        <v>0</v>
      </c>
      <c r="H73" s="69" t="s">
        <v>58</v>
      </c>
    </row>
    <row r="74" ht="15.75" customHeight="1">
      <c r="B74" s="65" t="s">
        <v>89</v>
      </c>
      <c r="E74" s="56"/>
      <c r="G74" s="68">
        <f t="shared" si="5"/>
        <v>0</v>
      </c>
      <c r="H74" s="69" t="s">
        <v>58</v>
      </c>
    </row>
    <row r="75" ht="15.75" customHeight="1">
      <c r="G75" s="68"/>
      <c r="H75" s="56"/>
    </row>
    <row r="76" ht="15.75" customHeight="1">
      <c r="B76" s="65" t="s">
        <v>90</v>
      </c>
      <c r="E76" s="56"/>
      <c r="G76" s="66">
        <f>SUM(G77:G85)/(9*4)</f>
        <v>0.5555555556</v>
      </c>
      <c r="H76" s="67" t="str">
        <f>IF(G76&gt;80%,"Very High",IF(G76&lt;=20%,"Very Low",IF(G76&lt;=40%,"Low",IF(G76&lt;=60%,"Medium","High"))))</f>
        <v>Medium</v>
      </c>
    </row>
    <row r="77" ht="15.75" customHeight="1">
      <c r="B77" s="65" t="s">
        <v>91</v>
      </c>
      <c r="E77" s="56"/>
      <c r="G77" s="68">
        <f t="shared" ref="G77:G85" si="6">ratingValue(H77)</f>
        <v>1</v>
      </c>
      <c r="H77" s="7" t="s">
        <v>62</v>
      </c>
    </row>
    <row r="78" ht="15.75" customHeight="1">
      <c r="B78" s="65" t="s">
        <v>92</v>
      </c>
      <c r="E78" s="56"/>
      <c r="G78" s="68">
        <f t="shared" si="6"/>
        <v>1</v>
      </c>
      <c r="H78" s="7" t="s">
        <v>62</v>
      </c>
    </row>
    <row r="79" ht="15.75" customHeight="1">
      <c r="B79" s="65" t="s">
        <v>93</v>
      </c>
      <c r="E79" s="56"/>
      <c r="G79" s="68">
        <f t="shared" si="6"/>
        <v>4</v>
      </c>
      <c r="H79" s="7" t="s">
        <v>66</v>
      </c>
    </row>
    <row r="80" ht="15.75" customHeight="1">
      <c r="B80" s="65" t="s">
        <v>94</v>
      </c>
      <c r="E80" s="56"/>
      <c r="G80" s="68">
        <f t="shared" si="6"/>
        <v>3</v>
      </c>
      <c r="H80" s="69" t="s">
        <v>79</v>
      </c>
    </row>
    <row r="81" ht="15.75" customHeight="1">
      <c r="B81" s="65" t="s">
        <v>95</v>
      </c>
      <c r="E81" s="56"/>
      <c r="G81" s="68">
        <f t="shared" si="6"/>
        <v>4</v>
      </c>
      <c r="H81" s="69" t="s">
        <v>66</v>
      </c>
    </row>
    <row r="82" ht="15.75" customHeight="1">
      <c r="B82" s="65" t="s">
        <v>96</v>
      </c>
      <c r="E82" s="56"/>
      <c r="G82" s="68">
        <f t="shared" si="6"/>
        <v>0</v>
      </c>
      <c r="H82" s="7" t="s">
        <v>58</v>
      </c>
    </row>
    <row r="83" ht="15.75" customHeight="1">
      <c r="B83" s="65" t="s">
        <v>97</v>
      </c>
      <c r="E83" s="56"/>
      <c r="G83" s="68">
        <f t="shared" si="6"/>
        <v>3</v>
      </c>
      <c r="H83" s="7" t="s">
        <v>79</v>
      </c>
    </row>
    <row r="84" ht="15.75" customHeight="1">
      <c r="B84" s="65" t="s">
        <v>98</v>
      </c>
      <c r="E84" s="56"/>
      <c r="G84" s="68">
        <f t="shared" si="6"/>
        <v>4</v>
      </c>
      <c r="H84" s="69" t="s">
        <v>66</v>
      </c>
    </row>
    <row r="85" ht="15.75" customHeight="1">
      <c r="B85" s="65" t="s">
        <v>99</v>
      </c>
      <c r="E85" s="56"/>
      <c r="G85" s="68">
        <f t="shared" si="6"/>
        <v>0</v>
      </c>
      <c r="H85" s="69" t="s">
        <v>58</v>
      </c>
    </row>
    <row r="86" ht="15.75" customHeight="1">
      <c r="G86" s="68"/>
      <c r="H86" s="56"/>
    </row>
    <row r="87" ht="15.75" customHeight="1">
      <c r="B87" s="65" t="s">
        <v>100</v>
      </c>
      <c r="E87" s="56"/>
      <c r="G87" s="66">
        <f>1-AVERAGE(G43,G53,G61,G71,G76)</f>
        <v>0.6326388889</v>
      </c>
      <c r="H87" s="67" t="str">
        <f>IF(G87&gt;80%,"Very High",IF(G87&lt;=20%,"Very Low",IF(G87&lt;=40%,"Low",IF(G87&lt;=60%,"Medium","High"))))</f>
        <v>High</v>
      </c>
    </row>
    <row r="88" ht="15.75" customHeight="1">
      <c r="B88" s="65" t="s">
        <v>101</v>
      </c>
      <c r="E88" s="56"/>
      <c r="H88" s="70">
        <f>ROUND((G87)*10,0)</f>
        <v>6</v>
      </c>
    </row>
    <row r="89" ht="15.75" customHeight="1"/>
    <row r="90" ht="15.75" customHeight="1">
      <c r="B90" s="1" t="s">
        <v>102</v>
      </c>
      <c r="C90" s="1"/>
    </row>
    <row r="91" ht="15.75" customHeight="1">
      <c r="B91" s="71" t="s">
        <v>103</v>
      </c>
      <c r="C91" s="72"/>
      <c r="D91" s="72"/>
      <c r="E91" s="72"/>
      <c r="F91" s="72"/>
      <c r="G91" s="68"/>
      <c r="H91" s="56"/>
      <c r="I91" s="56"/>
    </row>
    <row r="92" ht="15.75" customHeight="1">
      <c r="B92" s="65" t="s">
        <v>104</v>
      </c>
      <c r="G92" s="73">
        <f t="shared" ref="G92:G96" si="7">ratingValue(H92)</f>
        <v>3</v>
      </c>
      <c r="H92" s="7" t="s">
        <v>79</v>
      </c>
    </row>
    <row r="93" ht="15.75" customHeight="1">
      <c r="B93" s="74" t="s">
        <v>105</v>
      </c>
      <c r="C93" s="72"/>
      <c r="D93" s="72"/>
      <c r="E93" s="72"/>
      <c r="F93" s="72"/>
      <c r="G93" s="73">
        <f t="shared" si="7"/>
        <v>3</v>
      </c>
      <c r="H93" s="7" t="s">
        <v>79</v>
      </c>
    </row>
    <row r="94" ht="15.75" customHeight="1">
      <c r="B94" s="65" t="s">
        <v>106</v>
      </c>
      <c r="G94" s="73">
        <f t="shared" si="7"/>
        <v>3</v>
      </c>
      <c r="H94" s="7" t="s">
        <v>79</v>
      </c>
    </row>
    <row r="95" ht="15.75" customHeight="1">
      <c r="B95" s="65" t="s">
        <v>107</v>
      </c>
      <c r="G95" s="73">
        <f t="shared" si="7"/>
        <v>4</v>
      </c>
      <c r="H95" s="7" t="s">
        <v>66</v>
      </c>
    </row>
    <row r="96" ht="15.75" customHeight="1">
      <c r="B96" s="65" t="s">
        <v>108</v>
      </c>
      <c r="G96" s="73">
        <f t="shared" si="7"/>
        <v>3</v>
      </c>
      <c r="H96" s="7" t="s">
        <v>79</v>
      </c>
    </row>
    <row r="97" ht="15.75" customHeight="1">
      <c r="B97" s="75" t="s">
        <v>109</v>
      </c>
      <c r="H97" s="76">
        <f>IF(AVERAGE(G92:G96)&gt;=3,25%,if(AVERAGE(G92:G96)&gt;=2,35%,if(AVERAGE(G92:G96)&gt;=1,60%,100%)))</f>
        <v>0.25</v>
      </c>
    </row>
    <row r="98" ht="15.75" customHeight="1">
      <c r="B98" s="77" t="s">
        <v>110</v>
      </c>
      <c r="C98" s="78"/>
    </row>
    <row r="99" ht="15.75" customHeight="1">
      <c r="B99" s="78" t="s">
        <v>111</v>
      </c>
      <c r="C99" s="78"/>
    </row>
    <row r="100" ht="15.75" customHeight="1">
      <c r="B100" s="65" t="s">
        <v>112</v>
      </c>
      <c r="G100" s="68">
        <f t="shared" ref="G100:G104" si="8">ratingValue(H100)</f>
        <v>1</v>
      </c>
      <c r="H100" s="7" t="s">
        <v>62</v>
      </c>
    </row>
    <row r="101" ht="15.75" customHeight="1">
      <c r="B101" s="65" t="s">
        <v>113</v>
      </c>
      <c r="G101" s="68">
        <f t="shared" si="8"/>
        <v>4</v>
      </c>
      <c r="H101" s="7" t="s">
        <v>66</v>
      </c>
    </row>
    <row r="102" ht="15.75" customHeight="1">
      <c r="B102" s="65" t="s">
        <v>114</v>
      </c>
      <c r="G102" s="68">
        <f t="shared" si="8"/>
        <v>3</v>
      </c>
      <c r="H102" s="69" t="s">
        <v>79</v>
      </c>
    </row>
    <row r="103" ht="15.75" customHeight="1">
      <c r="B103" s="65" t="s">
        <v>115</v>
      </c>
      <c r="G103" s="68">
        <f t="shared" si="8"/>
        <v>3</v>
      </c>
      <c r="H103" s="7" t="s">
        <v>79</v>
      </c>
    </row>
    <row r="104" ht="15.75" customHeight="1">
      <c r="B104" s="65" t="s">
        <v>116</v>
      </c>
      <c r="G104" s="68">
        <f t="shared" si="8"/>
        <v>2</v>
      </c>
      <c r="H104" s="7" t="s">
        <v>60</v>
      </c>
    </row>
    <row r="105" ht="15.75" customHeight="1">
      <c r="B105" s="78" t="s">
        <v>117</v>
      </c>
      <c r="G105" s="68"/>
      <c r="H105" s="56"/>
      <c r="I105" s="56"/>
    </row>
    <row r="106" ht="15.75" customHeight="1">
      <c r="B106" s="65" t="s">
        <v>118</v>
      </c>
      <c r="G106" s="68">
        <f t="shared" ref="G106:G110" si="9">ratingValue(H106)</f>
        <v>4</v>
      </c>
      <c r="H106" s="7" t="s">
        <v>66</v>
      </c>
    </row>
    <row r="107" ht="15.75" customHeight="1">
      <c r="B107" s="65" t="s">
        <v>119</v>
      </c>
      <c r="G107" s="68">
        <f t="shared" si="9"/>
        <v>0</v>
      </c>
      <c r="H107" s="7" t="s">
        <v>58</v>
      </c>
    </row>
    <row r="108" ht="15.75" customHeight="1">
      <c r="B108" s="65" t="s">
        <v>120</v>
      </c>
      <c r="G108" s="68">
        <f t="shared" si="9"/>
        <v>3</v>
      </c>
      <c r="H108" s="69" t="s">
        <v>79</v>
      </c>
    </row>
    <row r="109" ht="15.75" customHeight="1">
      <c r="B109" s="65" t="s">
        <v>121</v>
      </c>
      <c r="G109" s="68">
        <f t="shared" si="9"/>
        <v>4</v>
      </c>
      <c r="H109" s="7" t="s">
        <v>66</v>
      </c>
    </row>
    <row r="110" ht="15.75" customHeight="1">
      <c r="B110" s="65" t="s">
        <v>122</v>
      </c>
      <c r="G110" s="68">
        <f t="shared" si="9"/>
        <v>2</v>
      </c>
      <c r="H110" s="7" t="s">
        <v>60</v>
      </c>
    </row>
    <row r="111" ht="15.75" customHeight="1">
      <c r="B111" s="78" t="s">
        <v>123</v>
      </c>
      <c r="G111" s="68"/>
      <c r="H111" s="56"/>
      <c r="I111" s="56"/>
    </row>
    <row r="112" ht="15.75" customHeight="1">
      <c r="B112" s="65" t="s">
        <v>124</v>
      </c>
      <c r="G112" s="68">
        <f t="shared" ref="G112:G116" si="10">ratingValue(H112)</f>
        <v>3</v>
      </c>
      <c r="H112" s="7" t="s">
        <v>79</v>
      </c>
    </row>
    <row r="113" ht="15.75" customHeight="1">
      <c r="B113" s="65" t="s">
        <v>125</v>
      </c>
      <c r="G113" s="68">
        <f t="shared" si="10"/>
        <v>1</v>
      </c>
      <c r="H113" s="79" t="str">
        <f>companyCompetitiveness(H87)</f>
        <v>disagree</v>
      </c>
    </row>
    <row r="114" ht="15.75" customHeight="1">
      <c r="B114" s="65" t="s">
        <v>126</v>
      </c>
      <c r="G114" s="68">
        <f t="shared" si="10"/>
        <v>4</v>
      </c>
      <c r="H114" s="7" t="s">
        <v>66</v>
      </c>
    </row>
    <row r="115" ht="15.75" customHeight="1">
      <c r="B115" s="65" t="s">
        <v>127</v>
      </c>
      <c r="G115" s="68">
        <f t="shared" si="10"/>
        <v>0</v>
      </c>
      <c r="H115" s="7" t="s">
        <v>58</v>
      </c>
    </row>
    <row r="116" ht="15.75" customHeight="1">
      <c r="B116" s="65" t="s">
        <v>128</v>
      </c>
      <c r="G116" s="68">
        <f t="shared" si="10"/>
        <v>2</v>
      </c>
      <c r="H116" s="7" t="s">
        <v>60</v>
      </c>
    </row>
    <row r="117" ht="15.75" customHeight="1">
      <c r="B117" s="78" t="s">
        <v>129</v>
      </c>
      <c r="G117" s="68"/>
      <c r="H117" s="56"/>
      <c r="I117" s="56"/>
    </row>
    <row r="118" ht="15.75" customHeight="1">
      <c r="B118" s="65" t="s">
        <v>130</v>
      </c>
      <c r="G118" s="68">
        <f t="shared" ref="G118:G122" si="11">ratingValue(H118)</f>
        <v>4</v>
      </c>
      <c r="H118" s="7" t="s">
        <v>66</v>
      </c>
    </row>
    <row r="119" ht="15.75" customHeight="1">
      <c r="B119" s="65" t="s">
        <v>131</v>
      </c>
      <c r="G119" s="68">
        <f t="shared" si="11"/>
        <v>3</v>
      </c>
      <c r="H119" s="7" t="s">
        <v>79</v>
      </c>
    </row>
    <row r="120" ht="15.75" customHeight="1">
      <c r="B120" s="65" t="s">
        <v>132</v>
      </c>
      <c r="G120" s="68">
        <f t="shared" si="11"/>
        <v>2</v>
      </c>
      <c r="H120" s="7" t="s">
        <v>60</v>
      </c>
    </row>
    <row r="121" ht="15.75" customHeight="1">
      <c r="B121" s="65" t="s">
        <v>133</v>
      </c>
      <c r="G121" s="68">
        <f t="shared" si="11"/>
        <v>2</v>
      </c>
      <c r="H121" s="7" t="s">
        <v>60</v>
      </c>
    </row>
    <row r="122" ht="15.75" customHeight="1">
      <c r="B122" s="65" t="s">
        <v>134</v>
      </c>
      <c r="G122" s="68">
        <f t="shared" si="11"/>
        <v>2</v>
      </c>
      <c r="H122" s="7" t="s">
        <v>60</v>
      </c>
    </row>
    <row r="123" ht="15.75" customHeight="1">
      <c r="B123" s="80" t="s">
        <v>135</v>
      </c>
      <c r="G123" s="66">
        <f>AVERAGE(AVERAGE(G100:G104),AVERAGE(G106:G110),AVERAGE(G112:G116),AVERAGE(G118:G122))/4</f>
        <v>0.6125</v>
      </c>
      <c r="H123" s="81" t="str">
        <f>IF(G123&gt;80%,"Very Good",IF(G123&lt;=20%,"Very Poor",IF(G123&lt;=40%,"Poor",IF(G123&lt;=60%,"ok","Good"))))</f>
        <v>Good</v>
      </c>
    </row>
    <row r="124" ht="15.75" customHeight="1">
      <c r="B124" s="82" t="s">
        <v>136</v>
      </c>
      <c r="C124" s="72"/>
      <c r="D124" s="83"/>
      <c r="F124" s="72"/>
      <c r="G124" s="84">
        <f>1-G123</f>
        <v>0.3875</v>
      </c>
      <c r="H124" s="85">
        <f>(H97-10%)*G124+10%</f>
        <v>0.158125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18">
    <mergeCell ref="C1:D1"/>
    <mergeCell ref="C2:D2"/>
    <mergeCell ref="C3:D3"/>
    <mergeCell ref="C4:D4"/>
    <mergeCell ref="C5:D5"/>
    <mergeCell ref="C7:D7"/>
    <mergeCell ref="C8:D8"/>
    <mergeCell ref="E14:F14"/>
    <mergeCell ref="G14:H14"/>
    <mergeCell ref="C9:D9"/>
    <mergeCell ref="C10:D10"/>
    <mergeCell ref="F10:G10"/>
    <mergeCell ref="C11:D11"/>
    <mergeCell ref="F11:G11"/>
    <mergeCell ref="F12:G12"/>
    <mergeCell ref="C14:D14"/>
    <mergeCell ref="E17:F17"/>
    <mergeCell ref="G17:H17"/>
    <mergeCell ref="C15:D15"/>
    <mergeCell ref="E15:F15"/>
    <mergeCell ref="G15:H15"/>
    <mergeCell ref="C16:D16"/>
    <mergeCell ref="E16:F16"/>
    <mergeCell ref="G16:H16"/>
    <mergeCell ref="C17:D17"/>
    <mergeCell ref="C18:D18"/>
    <mergeCell ref="E18:F18"/>
    <mergeCell ref="G18:H18"/>
    <mergeCell ref="C19:D19"/>
    <mergeCell ref="E19:F19"/>
    <mergeCell ref="G19:H19"/>
    <mergeCell ref="C20:H20"/>
    <mergeCell ref="D32:F32"/>
    <mergeCell ref="C33:C34"/>
    <mergeCell ref="G33:G34"/>
    <mergeCell ref="H82:I82"/>
    <mergeCell ref="H83:I83"/>
    <mergeCell ref="H84:I84"/>
    <mergeCell ref="H85:I85"/>
    <mergeCell ref="H87:I87"/>
    <mergeCell ref="H88:I88"/>
    <mergeCell ref="H92:I92"/>
    <mergeCell ref="H93:I93"/>
    <mergeCell ref="H94:I94"/>
    <mergeCell ref="H95:I95"/>
    <mergeCell ref="H96:I96"/>
    <mergeCell ref="H97:I97"/>
    <mergeCell ref="H100:I100"/>
    <mergeCell ref="H101:I101"/>
    <mergeCell ref="H102:I102"/>
    <mergeCell ref="H103:I103"/>
    <mergeCell ref="H104:I104"/>
    <mergeCell ref="H106:I106"/>
    <mergeCell ref="H107:I107"/>
    <mergeCell ref="H108:I108"/>
    <mergeCell ref="H109:I109"/>
    <mergeCell ref="H119:I119"/>
    <mergeCell ref="H120:I120"/>
    <mergeCell ref="H121:I121"/>
    <mergeCell ref="H122:I122"/>
    <mergeCell ref="H123:I123"/>
    <mergeCell ref="H124:I124"/>
    <mergeCell ref="H110:I110"/>
    <mergeCell ref="H112:I112"/>
    <mergeCell ref="H113:I113"/>
    <mergeCell ref="H114:I114"/>
    <mergeCell ref="H115:I115"/>
    <mergeCell ref="H116:I116"/>
    <mergeCell ref="H118:I118"/>
    <mergeCell ref="C21:D21"/>
    <mergeCell ref="E21:F21"/>
    <mergeCell ref="G21:H21"/>
    <mergeCell ref="C22:D22"/>
    <mergeCell ref="E22:F22"/>
    <mergeCell ref="G22:H22"/>
    <mergeCell ref="C23:H23"/>
    <mergeCell ref="C24:D24"/>
    <mergeCell ref="E24:F24"/>
    <mergeCell ref="G24:H24"/>
    <mergeCell ref="C27:I27"/>
    <mergeCell ref="C28:I28"/>
    <mergeCell ref="C29:I29"/>
    <mergeCell ref="C30:I30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3:I53"/>
    <mergeCell ref="H54:I54"/>
    <mergeCell ref="H55:I55"/>
    <mergeCell ref="H56:I56"/>
    <mergeCell ref="H57:I57"/>
    <mergeCell ref="H58:I58"/>
    <mergeCell ref="H59:I59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1:I71"/>
    <mergeCell ref="H72:I72"/>
    <mergeCell ref="H73:I73"/>
    <mergeCell ref="H74:I74"/>
    <mergeCell ref="H76:I76"/>
    <mergeCell ref="H77:I77"/>
    <mergeCell ref="H78:I78"/>
    <mergeCell ref="H79:I79"/>
    <mergeCell ref="H80:I80"/>
    <mergeCell ref="H81:I81"/>
  </mergeCells>
  <conditionalFormatting sqref="E43:E88">
    <cfRule type="notContainsBlanks" dxfId="0" priority="1">
      <formula>LEN(TRIM(E43))&gt;0</formula>
    </cfRule>
  </conditionalFormatting>
  <dataValidations>
    <dataValidation type="list" allowBlank="1" sqref="C5">
      <formula1>"HK,US:NASDAQ,CN"</formula1>
    </dataValidation>
    <dataValidation type="list" allowBlank="1" sqref="H43 H53 H61 H71 H76">
      <formula1>"Very High,High,Medium,Low,Very Low"</formula1>
    </dataValidation>
    <dataValidation type="list" allowBlank="1" sqref="H44:H51 H54:H59 H62:H69 H72:H74 H77:H85 H92:H96 H100:H104 H106:H110 H112 H114:H116 H118:H122">
      <formula1>"Strongly agree,agree,unclear,disagree,Strongly disagree"</formula1>
    </dataValidation>
    <dataValidation type="list" allowBlank="1" sqref="C11">
      <formula1>"HKD,USD,CNY,EUR"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20.25"/>
    <col customWidth="1" min="3" max="4" width="17.63"/>
    <col customWidth="1" min="5" max="5" width="20.88"/>
    <col customWidth="1" min="6" max="33" width="17.63"/>
  </cols>
  <sheetData>
    <row r="1" ht="15.75" customHeight="1">
      <c r="A1" s="86"/>
      <c r="B1" s="1" t="s">
        <v>137</v>
      </c>
      <c r="C1" s="87"/>
      <c r="D1" s="87"/>
      <c r="E1" s="87"/>
      <c r="F1" s="87"/>
    </row>
    <row r="2" ht="15.75" customHeight="1">
      <c r="A2" s="28"/>
      <c r="B2" s="65" t="s">
        <v>138</v>
      </c>
      <c r="C2" s="88">
        <v>2021.0</v>
      </c>
      <c r="E2" s="65" t="s">
        <v>139</v>
      </c>
      <c r="F2" s="89">
        <v>1000000.0</v>
      </c>
    </row>
    <row r="3" ht="15.75" customHeight="1">
      <c r="A3" s="28"/>
      <c r="B3" s="65" t="s">
        <v>140</v>
      </c>
      <c r="C3" s="90" t="s">
        <v>141</v>
      </c>
      <c r="E3" s="65" t="s">
        <v>142</v>
      </c>
      <c r="F3" s="91">
        <v>2693.6</v>
      </c>
    </row>
    <row r="4" ht="15.75" customHeight="1">
      <c r="A4" s="28"/>
    </row>
    <row r="5" ht="15.75" customHeight="1">
      <c r="A5" s="28"/>
      <c r="B5" s="92"/>
      <c r="C5" s="93" t="s">
        <v>143</v>
      </c>
      <c r="D5" s="93" t="s">
        <v>144</v>
      </c>
      <c r="E5" s="93" t="s">
        <v>145</v>
      </c>
      <c r="F5" s="93" t="s">
        <v>146</v>
      </c>
      <c r="G5" s="93" t="s">
        <v>50</v>
      </c>
      <c r="H5" s="94" t="s">
        <v>147</v>
      </c>
      <c r="I5" s="93" t="s">
        <v>148</v>
      </c>
      <c r="J5" s="93" t="s">
        <v>149</v>
      </c>
      <c r="K5" s="93" t="s">
        <v>150</v>
      </c>
      <c r="L5" s="93" t="s">
        <v>151</v>
      </c>
      <c r="M5" s="93" t="s">
        <v>152</v>
      </c>
      <c r="N5" s="93" t="s">
        <v>153</v>
      </c>
      <c r="O5" s="93" t="s">
        <v>154</v>
      </c>
      <c r="P5" s="93" t="s">
        <v>155</v>
      </c>
      <c r="Q5" s="93" t="s">
        <v>156</v>
      </c>
      <c r="R5" s="93" t="s">
        <v>157</v>
      </c>
      <c r="S5" s="93" t="s">
        <v>158</v>
      </c>
      <c r="T5" s="93" t="s">
        <v>159</v>
      </c>
      <c r="U5" s="93" t="s">
        <v>160</v>
      </c>
      <c r="V5" s="93" t="s">
        <v>161</v>
      </c>
      <c r="W5" s="94" t="s">
        <v>162</v>
      </c>
      <c r="X5" s="93" t="s">
        <v>163</v>
      </c>
      <c r="Y5" s="93" t="s">
        <v>164</v>
      </c>
      <c r="Z5" s="94" t="s">
        <v>165</v>
      </c>
      <c r="AA5" s="93" t="s">
        <v>166</v>
      </c>
      <c r="AB5" s="93" t="s">
        <v>167</v>
      </c>
      <c r="AC5" s="93" t="s">
        <v>168</v>
      </c>
      <c r="AD5" s="93" t="s">
        <v>169</v>
      </c>
      <c r="AE5" s="93" t="s">
        <v>170</v>
      </c>
      <c r="AF5" s="93" t="s">
        <v>171</v>
      </c>
      <c r="AG5" s="93" t="s">
        <v>52</v>
      </c>
    </row>
    <row r="6" ht="15.75" customHeight="1">
      <c r="A6" s="95"/>
      <c r="B6" s="96" t="str">
        <f>IF($C$3="H1","LTM ","FY ")&amp;$C$2</f>
        <v>FY 2021</v>
      </c>
      <c r="C6" s="97">
        <v>9309.22</v>
      </c>
      <c r="D6" s="98">
        <f t="shared" ref="D6:D15" si="1">IF(C7="","",C6/C7-1)</f>
        <v>0.1851270013</v>
      </c>
      <c r="E6" s="97">
        <v>3044.55</v>
      </c>
      <c r="F6" s="98">
        <f t="shared" ref="F6:F16" si="2">IF(E6="","",E6/C6)</f>
        <v>0.3270467343</v>
      </c>
      <c r="G6" s="98">
        <f t="shared" ref="G6:G15" si="3">IF(E7="","",E6/E7-1)</f>
        <v>0.09658190462</v>
      </c>
      <c r="H6" s="99">
        <f t="shared" ref="H6:H16" si="4">if(E6="","",E6*(1-$F$29))</f>
        <v>2678.141897</v>
      </c>
      <c r="I6" s="100">
        <f>IF(R6="","",H6/V6)</f>
        <v>0.4263443777</v>
      </c>
      <c r="J6" s="101">
        <v>89.33</v>
      </c>
      <c r="K6" s="102">
        <v>0.120348854</v>
      </c>
      <c r="L6" s="101">
        <v>5.46</v>
      </c>
      <c r="M6" s="97">
        <v>9146.05</v>
      </c>
      <c r="N6" s="97">
        <v>2690.75</v>
      </c>
      <c r="O6" s="97">
        <v>596.7</v>
      </c>
      <c r="P6" s="97">
        <v>44.5</v>
      </c>
      <c r="Q6" s="103">
        <f t="shared" ref="Q6:Q16" si="5">IF(C6="","",O6+P6)</f>
        <v>641.2</v>
      </c>
      <c r="R6" s="97">
        <v>9239.27</v>
      </c>
      <c r="S6" s="97">
        <v>43.56</v>
      </c>
      <c r="T6" s="97">
        <v>3598.83</v>
      </c>
      <c r="U6" s="104">
        <v>0.0</v>
      </c>
      <c r="V6" s="103">
        <f>IF(R6="","",DebtRange+EquityRange-T6)</f>
        <v>6281.64</v>
      </c>
      <c r="W6" s="97">
        <v>101.99</v>
      </c>
      <c r="X6" s="98">
        <f t="shared" ref="X6:X16" si="6">IF(R6="","",W6/C6)</f>
        <v>0.01095580511</v>
      </c>
      <c r="Y6" s="97">
        <v>38.6832261</v>
      </c>
      <c r="Z6" s="103">
        <f t="shared" ref="Z6:Z16" si="7">if(M6="","",W6+Y6)</f>
        <v>140.6732261</v>
      </c>
      <c r="AA6" s="104">
        <v>0.0</v>
      </c>
      <c r="AB6" s="103">
        <f t="shared" ref="AB6:AB16" si="8">IF(C6="","",Z6-AA6)</f>
        <v>140.6732261</v>
      </c>
      <c r="AC6" s="103">
        <f t="shared" ref="AC6:AC16" si="9">if(M6="","",(M6-T6)-(N6-O6))</f>
        <v>3453.17</v>
      </c>
      <c r="AD6" s="103">
        <f t="shared" ref="AD6:AD15" si="10">if(AC7="","",AC6-AC7)</f>
        <v>467.86</v>
      </c>
      <c r="AE6" s="98">
        <f t="shared" ref="AE6:AE16" si="11">IF(R6="","",AC6/C6)</f>
        <v>0.3709408522</v>
      </c>
      <c r="AF6" s="103">
        <f t="shared" ref="AF6:AF15" si="12">IF(AD6="","",W6+AD6)</f>
        <v>569.85</v>
      </c>
      <c r="AG6" s="98">
        <f t="shared" ref="AG6:AG15" si="13">IF(AD6="","",AF6/H6)</f>
        <v>0.2127781208</v>
      </c>
    </row>
    <row r="7" ht="15.75" customHeight="1">
      <c r="A7" s="95"/>
      <c r="B7" s="96" t="str">
        <f>IF($C$3="H1","LTM ","FY ")&amp;$C$2-1</f>
        <v>FY 2020</v>
      </c>
      <c r="C7" s="97">
        <v>7855.04</v>
      </c>
      <c r="D7" s="98">
        <f t="shared" si="1"/>
        <v>0.4508701482</v>
      </c>
      <c r="E7" s="97">
        <v>2776.4</v>
      </c>
      <c r="F7" s="98">
        <f t="shared" si="2"/>
        <v>0.3534545973</v>
      </c>
      <c r="G7" s="98">
        <f t="shared" si="3"/>
        <v>0.9198030688</v>
      </c>
      <c r="H7" s="99">
        <f t="shared" si="4"/>
        <v>2442.263442</v>
      </c>
      <c r="I7" s="100">
        <f t="shared" ref="I7:I15" si="14">IF(C8="","",H7/V8)</f>
        <v>0.5413105843</v>
      </c>
      <c r="J7" s="101">
        <v>151.34</v>
      </c>
      <c r="K7" s="102">
        <v>0.133325157</v>
      </c>
      <c r="L7" s="101">
        <v>7.37</v>
      </c>
      <c r="M7" s="97">
        <v>7594.91</v>
      </c>
      <c r="N7" s="97">
        <v>2589.81</v>
      </c>
      <c r="O7" s="97">
        <v>554.45</v>
      </c>
      <c r="P7" s="97">
        <v>370.17</v>
      </c>
      <c r="Q7" s="103">
        <f t="shared" si="5"/>
        <v>924.62</v>
      </c>
      <c r="R7" s="97">
        <v>7351.65</v>
      </c>
      <c r="S7" s="97">
        <v>37.94</v>
      </c>
      <c r="T7" s="97">
        <v>2574.24</v>
      </c>
      <c r="U7" s="104">
        <v>0.0</v>
      </c>
      <c r="V7" s="103">
        <f>IF(R7="","",DebtRange+EquityRange-T7)</f>
        <v>5702.03</v>
      </c>
      <c r="W7" s="97">
        <v>31.21</v>
      </c>
      <c r="X7" s="98">
        <f t="shared" si="6"/>
        <v>0.003973245203</v>
      </c>
      <c r="Y7" s="97">
        <v>29.4836056</v>
      </c>
      <c r="Z7" s="103">
        <f t="shared" si="7"/>
        <v>60.6936056</v>
      </c>
      <c r="AA7" s="104">
        <v>0.0</v>
      </c>
      <c r="AB7" s="103">
        <f t="shared" si="8"/>
        <v>60.6936056</v>
      </c>
      <c r="AC7" s="103">
        <f t="shared" si="9"/>
        <v>2985.31</v>
      </c>
      <c r="AD7" s="103">
        <f t="shared" si="10"/>
        <v>965.36</v>
      </c>
      <c r="AE7" s="98">
        <f t="shared" si="11"/>
        <v>0.3800502607</v>
      </c>
      <c r="AF7" s="103">
        <f t="shared" si="12"/>
        <v>996.57</v>
      </c>
      <c r="AG7" s="98">
        <f t="shared" si="13"/>
        <v>0.4080518027</v>
      </c>
    </row>
    <row r="8" ht="15.75" customHeight="1">
      <c r="A8" s="95"/>
      <c r="B8" s="96" t="str">
        <f>IF($C$3="H1","LTM ","FY ")&amp;$C$2-2</f>
        <v>FY 2019</v>
      </c>
      <c r="C8" s="97">
        <v>5414.02</v>
      </c>
      <c r="D8" s="98">
        <f t="shared" si="1"/>
        <v>0.2856912168</v>
      </c>
      <c r="E8" s="97">
        <v>1446.19</v>
      </c>
      <c r="F8" s="98">
        <f t="shared" si="2"/>
        <v>0.2671194417</v>
      </c>
      <c r="G8" s="98">
        <f t="shared" si="3"/>
        <v>0.450483431</v>
      </c>
      <c r="H8" s="99">
        <f t="shared" si="4"/>
        <v>1272.142691</v>
      </c>
      <c r="I8" s="100">
        <f t="shared" si="14"/>
        <v>0.2901705909</v>
      </c>
      <c r="J8" s="101">
        <v>-31.08</v>
      </c>
      <c r="K8" s="102">
        <v>0.130404201</v>
      </c>
      <c r="L8" s="101">
        <v>1.95</v>
      </c>
      <c r="M8" s="97">
        <v>5491.8</v>
      </c>
      <c r="N8" s="97">
        <v>2169.94</v>
      </c>
      <c r="O8" s="97">
        <v>937.07</v>
      </c>
      <c r="P8" s="97">
        <v>199.51</v>
      </c>
      <c r="Q8" s="103">
        <f t="shared" si="5"/>
        <v>1136.58</v>
      </c>
      <c r="R8" s="97">
        <v>5614.16</v>
      </c>
      <c r="S8" s="97">
        <v>30.39</v>
      </c>
      <c r="T8" s="97">
        <v>2238.98</v>
      </c>
      <c r="U8" s="104">
        <v>0.0</v>
      </c>
      <c r="V8" s="103">
        <f>IF(R8="","",DebtRange+EquityRange-T8)</f>
        <v>4511.76</v>
      </c>
      <c r="W8" s="97">
        <v>221.58</v>
      </c>
      <c r="X8" s="98">
        <f t="shared" si="6"/>
        <v>0.04092707452</v>
      </c>
      <c r="Y8" s="97">
        <v>20.0</v>
      </c>
      <c r="Z8" s="103">
        <f t="shared" si="7"/>
        <v>241.58</v>
      </c>
      <c r="AA8" s="104">
        <v>0.0</v>
      </c>
      <c r="AB8" s="103">
        <f t="shared" si="8"/>
        <v>241.58</v>
      </c>
      <c r="AC8" s="103">
        <f t="shared" si="9"/>
        <v>2019.95</v>
      </c>
      <c r="AD8" s="103">
        <f t="shared" si="10"/>
        <v>102.9</v>
      </c>
      <c r="AE8" s="98">
        <f t="shared" si="11"/>
        <v>0.3730961467</v>
      </c>
      <c r="AF8" s="103">
        <f t="shared" si="12"/>
        <v>324.48</v>
      </c>
      <c r="AG8" s="98">
        <f t="shared" si="13"/>
        <v>0.2550657268</v>
      </c>
    </row>
    <row r="9" ht="15.75" customHeight="1">
      <c r="A9" s="95"/>
      <c r="B9" s="96" t="str">
        <f>IF($C$3="H1","LTM ","FY ")&amp;$C$2-3</f>
        <v>FY 2018</v>
      </c>
      <c r="C9" s="97">
        <v>4210.98</v>
      </c>
      <c r="D9" s="98">
        <f t="shared" si="1"/>
        <v>0.5064986173</v>
      </c>
      <c r="E9" s="97">
        <v>997.04</v>
      </c>
      <c r="F9" s="98">
        <f t="shared" si="2"/>
        <v>0.2367714879</v>
      </c>
      <c r="G9" s="98">
        <f t="shared" si="3"/>
        <v>1.001686408</v>
      </c>
      <c r="H9" s="99">
        <f t="shared" si="4"/>
        <v>877.0473786</v>
      </c>
      <c r="I9" s="100">
        <f t="shared" si="14"/>
        <v>0.2094531535</v>
      </c>
      <c r="J9" s="101">
        <v>-30.16</v>
      </c>
      <c r="K9" s="102">
        <v>0.130902067</v>
      </c>
      <c r="L9" s="101">
        <v>0.31</v>
      </c>
      <c r="M9" s="97">
        <v>4442.94</v>
      </c>
      <c r="N9" s="97">
        <v>1981.48</v>
      </c>
      <c r="O9" s="97">
        <v>904.78</v>
      </c>
      <c r="P9" s="97">
        <v>353.46</v>
      </c>
      <c r="Q9" s="103">
        <f t="shared" si="5"/>
        <v>1258.24</v>
      </c>
      <c r="R9" s="97">
        <v>4575.07</v>
      </c>
      <c r="S9" s="97">
        <v>28.27</v>
      </c>
      <c r="T9" s="97">
        <v>1449.19</v>
      </c>
      <c r="U9" s="104">
        <v>0.0</v>
      </c>
      <c r="V9" s="103">
        <f>IF(R9="","",DebtRange+EquityRange-T9)</f>
        <v>4384.12</v>
      </c>
      <c r="W9" s="105">
        <v>230.74</v>
      </c>
      <c r="X9" s="98">
        <f t="shared" si="6"/>
        <v>0.05479484586</v>
      </c>
      <c r="Y9" s="97">
        <v>18.0</v>
      </c>
      <c r="Z9" s="103">
        <f t="shared" si="7"/>
        <v>248.74</v>
      </c>
      <c r="AA9" s="104">
        <v>0.0</v>
      </c>
      <c r="AB9" s="103">
        <f t="shared" si="8"/>
        <v>248.74</v>
      </c>
      <c r="AC9" s="103">
        <f t="shared" si="9"/>
        <v>1917.05</v>
      </c>
      <c r="AD9" s="103">
        <f t="shared" si="10"/>
        <v>400.65</v>
      </c>
      <c r="AE9" s="98">
        <f t="shared" si="11"/>
        <v>0.4552503218</v>
      </c>
      <c r="AF9" s="103">
        <f t="shared" si="12"/>
        <v>631.39</v>
      </c>
      <c r="AG9" s="98">
        <f t="shared" si="13"/>
        <v>0.7199040957</v>
      </c>
    </row>
    <row r="10" ht="15.75" customHeight="1">
      <c r="A10" s="95"/>
      <c r="B10" s="96" t="str">
        <f>IF($C$3="H1","LTM ","FY ")&amp;$C$2-4</f>
        <v>FY 2017</v>
      </c>
      <c r="C10" s="97">
        <v>2795.21</v>
      </c>
      <c r="D10" s="98" t="str">
        <f t="shared" si="1"/>
        <v/>
      </c>
      <c r="E10" s="97">
        <v>498.1</v>
      </c>
      <c r="F10" s="98">
        <f t="shared" si="2"/>
        <v>0.1781977025</v>
      </c>
      <c r="G10" s="98" t="str">
        <f t="shared" si="3"/>
        <v/>
      </c>
      <c r="H10" s="99">
        <f t="shared" si="4"/>
        <v>438.1542358</v>
      </c>
      <c r="I10" s="100" t="str">
        <f t="shared" si="14"/>
        <v/>
      </c>
      <c r="J10" s="101">
        <v>84.63</v>
      </c>
      <c r="K10" s="102">
        <v>0.147059482</v>
      </c>
      <c r="L10" s="101">
        <v>-0.94</v>
      </c>
      <c r="M10" s="97">
        <v>3294.54</v>
      </c>
      <c r="N10" s="97">
        <v>1691.67</v>
      </c>
      <c r="O10" s="97">
        <v>938.93</v>
      </c>
      <c r="P10" s="97">
        <v>400.63</v>
      </c>
      <c r="Q10" s="103">
        <f t="shared" si="5"/>
        <v>1339.56</v>
      </c>
      <c r="R10" s="97">
        <v>3873.16</v>
      </c>
      <c r="S10" s="97">
        <v>27.89</v>
      </c>
      <c r="T10" s="97">
        <v>1025.4</v>
      </c>
      <c r="U10" s="104">
        <v>0.0</v>
      </c>
      <c r="V10" s="103">
        <f>IF(R10="","",DebtRange+EquityRange-T10)</f>
        <v>4187.32</v>
      </c>
      <c r="W10" s="105">
        <v>20.0</v>
      </c>
      <c r="X10" s="98">
        <f t="shared" si="6"/>
        <v>0.00715509747</v>
      </c>
      <c r="Y10" s="97">
        <v>16.0</v>
      </c>
      <c r="Z10" s="103">
        <f t="shared" si="7"/>
        <v>36</v>
      </c>
      <c r="AA10" s="104">
        <v>0.0</v>
      </c>
      <c r="AB10" s="103">
        <f t="shared" si="8"/>
        <v>36</v>
      </c>
      <c r="AC10" s="103">
        <f t="shared" si="9"/>
        <v>1516.4</v>
      </c>
      <c r="AD10" s="103" t="str">
        <f t="shared" si="10"/>
        <v/>
      </c>
      <c r="AE10" s="98">
        <f t="shared" si="11"/>
        <v>0.5424994902</v>
      </c>
      <c r="AF10" s="103" t="str">
        <f t="shared" si="12"/>
        <v/>
      </c>
      <c r="AG10" s="98" t="str">
        <f t="shared" si="13"/>
        <v/>
      </c>
    </row>
    <row r="11" ht="15.75" customHeight="1">
      <c r="A11" s="95"/>
      <c r="B11" s="96" t="str">
        <f>IF($C$3="H1","LTM ","FY ")&amp;$C$2-5</f>
        <v>FY 2016</v>
      </c>
      <c r="C11" s="104"/>
      <c r="D11" s="98" t="str">
        <f t="shared" si="1"/>
        <v/>
      </c>
      <c r="E11" s="104"/>
      <c r="F11" s="98" t="str">
        <f t="shared" si="2"/>
        <v/>
      </c>
      <c r="G11" s="98" t="str">
        <f t="shared" si="3"/>
        <v/>
      </c>
      <c r="H11" s="99" t="str">
        <f t="shared" si="4"/>
        <v/>
      </c>
      <c r="I11" s="100" t="str">
        <f t="shared" si="14"/>
        <v/>
      </c>
      <c r="J11" s="106"/>
      <c r="K11" s="107"/>
      <c r="L11" s="106"/>
      <c r="M11" s="104"/>
      <c r="N11" s="104"/>
      <c r="O11" s="104"/>
      <c r="P11" s="104"/>
      <c r="Q11" s="103" t="str">
        <f t="shared" si="5"/>
        <v/>
      </c>
      <c r="R11" s="104"/>
      <c r="S11" s="104"/>
      <c r="T11" s="104"/>
      <c r="U11" s="104"/>
      <c r="V11" s="108" t="str">
        <f>IF(R11="","",DebtRange+EquityRange-T11)</f>
        <v/>
      </c>
      <c r="W11" s="109" t="str">
        <f t="shared" ref="W11:W16" si="15">IF(R11="","",AB11-Y11)</f>
        <v/>
      </c>
      <c r="X11" s="98" t="str">
        <f t="shared" si="6"/>
        <v/>
      </c>
      <c r="Y11" s="104"/>
      <c r="Z11" s="103" t="str">
        <f t="shared" si="7"/>
        <v/>
      </c>
      <c r="AA11" s="104"/>
      <c r="AB11" s="103" t="str">
        <f t="shared" si="8"/>
        <v/>
      </c>
      <c r="AC11" s="103" t="str">
        <f t="shared" si="9"/>
        <v/>
      </c>
      <c r="AD11" s="103" t="str">
        <f t="shared" si="10"/>
        <v/>
      </c>
      <c r="AE11" s="98" t="str">
        <f t="shared" si="11"/>
        <v/>
      </c>
      <c r="AF11" s="103" t="str">
        <f t="shared" si="12"/>
        <v/>
      </c>
      <c r="AG11" s="98" t="str">
        <f t="shared" si="13"/>
        <v/>
      </c>
    </row>
    <row r="12" ht="15.75" customHeight="1">
      <c r="A12" s="95"/>
      <c r="B12" s="96" t="str">
        <f>IF($C$3="H1","LTM ","FY ")&amp;$C$2-6</f>
        <v>FY 2015</v>
      </c>
      <c r="C12" s="104"/>
      <c r="D12" s="98" t="str">
        <f t="shared" si="1"/>
        <v/>
      </c>
      <c r="E12" s="104"/>
      <c r="F12" s="98" t="str">
        <f t="shared" si="2"/>
        <v/>
      </c>
      <c r="G12" s="98" t="str">
        <f t="shared" si="3"/>
        <v/>
      </c>
      <c r="H12" s="99" t="str">
        <f t="shared" si="4"/>
        <v/>
      </c>
      <c r="I12" s="100" t="str">
        <f t="shared" si="14"/>
        <v/>
      </c>
      <c r="J12" s="106"/>
      <c r="K12" s="107"/>
      <c r="L12" s="106"/>
      <c r="M12" s="104"/>
      <c r="N12" s="104"/>
      <c r="O12" s="104"/>
      <c r="P12" s="104"/>
      <c r="Q12" s="103" t="str">
        <f t="shared" si="5"/>
        <v/>
      </c>
      <c r="R12" s="104"/>
      <c r="S12" s="104"/>
      <c r="T12" s="104"/>
      <c r="U12" s="104"/>
      <c r="V12" s="108" t="str">
        <f>IF(R12="","",DebtRange+EquityRange-T12)</f>
        <v/>
      </c>
      <c r="W12" s="109" t="str">
        <f t="shared" si="15"/>
        <v/>
      </c>
      <c r="X12" s="98" t="str">
        <f t="shared" si="6"/>
        <v/>
      </c>
      <c r="Y12" s="104"/>
      <c r="Z12" s="103" t="str">
        <f t="shared" si="7"/>
        <v/>
      </c>
      <c r="AA12" s="104"/>
      <c r="AB12" s="103" t="str">
        <f t="shared" si="8"/>
        <v/>
      </c>
      <c r="AC12" s="103" t="str">
        <f t="shared" si="9"/>
        <v/>
      </c>
      <c r="AD12" s="103" t="str">
        <f t="shared" si="10"/>
        <v/>
      </c>
      <c r="AE12" s="98" t="str">
        <f t="shared" si="11"/>
        <v/>
      </c>
      <c r="AF12" s="103" t="str">
        <f t="shared" si="12"/>
        <v/>
      </c>
      <c r="AG12" s="98" t="str">
        <f t="shared" si="13"/>
        <v/>
      </c>
    </row>
    <row r="13" ht="15.75" customHeight="1">
      <c r="A13" s="95"/>
      <c r="B13" s="96" t="str">
        <f>IF($C$3="H1","LTM ","FY ")&amp;$C$2-7</f>
        <v>FY 2014</v>
      </c>
      <c r="C13" s="104"/>
      <c r="D13" s="98" t="str">
        <f t="shared" si="1"/>
        <v/>
      </c>
      <c r="E13" s="104"/>
      <c r="F13" s="98" t="str">
        <f t="shared" si="2"/>
        <v/>
      </c>
      <c r="G13" s="98" t="str">
        <f t="shared" si="3"/>
        <v/>
      </c>
      <c r="H13" s="99" t="str">
        <f t="shared" si="4"/>
        <v/>
      </c>
      <c r="I13" s="100" t="str">
        <f t="shared" si="14"/>
        <v/>
      </c>
      <c r="J13" s="106"/>
      <c r="K13" s="107"/>
      <c r="L13" s="106"/>
      <c r="M13" s="104"/>
      <c r="N13" s="104"/>
      <c r="O13" s="104"/>
      <c r="P13" s="104"/>
      <c r="Q13" s="103" t="str">
        <f t="shared" si="5"/>
        <v/>
      </c>
      <c r="R13" s="104"/>
      <c r="S13" s="104"/>
      <c r="T13" s="104"/>
      <c r="U13" s="104"/>
      <c r="V13" s="108" t="str">
        <f>IF(R13="","",DebtRange+EquityRange-T13)</f>
        <v/>
      </c>
      <c r="W13" s="109" t="str">
        <f t="shared" si="15"/>
        <v/>
      </c>
      <c r="X13" s="98" t="str">
        <f t="shared" si="6"/>
        <v/>
      </c>
      <c r="Y13" s="104"/>
      <c r="Z13" s="103" t="str">
        <f t="shared" si="7"/>
        <v/>
      </c>
      <c r="AA13" s="104"/>
      <c r="AB13" s="103" t="str">
        <f t="shared" si="8"/>
        <v/>
      </c>
      <c r="AC13" s="103" t="str">
        <f t="shared" si="9"/>
        <v/>
      </c>
      <c r="AD13" s="103" t="str">
        <f t="shared" si="10"/>
        <v/>
      </c>
      <c r="AE13" s="98" t="str">
        <f t="shared" si="11"/>
        <v/>
      </c>
      <c r="AF13" s="103" t="str">
        <f t="shared" si="12"/>
        <v/>
      </c>
      <c r="AG13" s="98" t="str">
        <f t="shared" si="13"/>
        <v/>
      </c>
    </row>
    <row r="14" ht="15.75" customHeight="1">
      <c r="A14" s="95"/>
      <c r="B14" s="96" t="str">
        <f>IF($C$3="H1","LTM ","FY ")&amp;$C$2-8</f>
        <v>FY 2013</v>
      </c>
      <c r="C14" s="104"/>
      <c r="D14" s="98" t="str">
        <f t="shared" si="1"/>
        <v/>
      </c>
      <c r="E14" s="104"/>
      <c r="F14" s="98" t="str">
        <f t="shared" si="2"/>
        <v/>
      </c>
      <c r="G14" s="98" t="str">
        <f t="shared" si="3"/>
        <v/>
      </c>
      <c r="H14" s="99" t="str">
        <f t="shared" si="4"/>
        <v/>
      </c>
      <c r="I14" s="100" t="str">
        <f t="shared" si="14"/>
        <v/>
      </c>
      <c r="J14" s="106"/>
      <c r="K14" s="107"/>
      <c r="L14" s="106"/>
      <c r="M14" s="104"/>
      <c r="N14" s="104"/>
      <c r="O14" s="104"/>
      <c r="P14" s="104"/>
      <c r="Q14" s="103" t="str">
        <f t="shared" si="5"/>
        <v/>
      </c>
      <c r="R14" s="104"/>
      <c r="S14" s="104"/>
      <c r="T14" s="104"/>
      <c r="U14" s="104"/>
      <c r="V14" s="108" t="str">
        <f>IF(R14="","",DebtRange+EquityRange-T14)</f>
        <v/>
      </c>
      <c r="W14" s="109" t="str">
        <f t="shared" si="15"/>
        <v/>
      </c>
      <c r="X14" s="98" t="str">
        <f t="shared" si="6"/>
        <v/>
      </c>
      <c r="Y14" s="104"/>
      <c r="Z14" s="103" t="str">
        <f t="shared" si="7"/>
        <v/>
      </c>
      <c r="AA14" s="104"/>
      <c r="AB14" s="103" t="str">
        <f t="shared" si="8"/>
        <v/>
      </c>
      <c r="AC14" s="103" t="str">
        <f t="shared" si="9"/>
        <v/>
      </c>
      <c r="AD14" s="103" t="str">
        <f t="shared" si="10"/>
        <v/>
      </c>
      <c r="AE14" s="98" t="str">
        <f t="shared" si="11"/>
        <v/>
      </c>
      <c r="AF14" s="103" t="str">
        <f t="shared" si="12"/>
        <v/>
      </c>
      <c r="AG14" s="98" t="str">
        <f t="shared" si="13"/>
        <v/>
      </c>
    </row>
    <row r="15" ht="15.75" customHeight="1">
      <c r="A15" s="95"/>
      <c r="B15" s="96" t="str">
        <f>IF($C$3="H1","LTM ","FY ")&amp;$C$2-9</f>
        <v>FY 2012</v>
      </c>
      <c r="C15" s="104"/>
      <c r="D15" s="98" t="str">
        <f t="shared" si="1"/>
        <v/>
      </c>
      <c r="E15" s="104"/>
      <c r="F15" s="98" t="str">
        <f t="shared" si="2"/>
        <v/>
      </c>
      <c r="G15" s="98" t="str">
        <f t="shared" si="3"/>
        <v/>
      </c>
      <c r="H15" s="99" t="str">
        <f t="shared" si="4"/>
        <v/>
      </c>
      <c r="I15" s="100" t="str">
        <f t="shared" si="14"/>
        <v/>
      </c>
      <c r="J15" s="106"/>
      <c r="K15" s="107"/>
      <c r="L15" s="106"/>
      <c r="M15" s="104"/>
      <c r="N15" s="104"/>
      <c r="O15" s="104"/>
      <c r="P15" s="104"/>
      <c r="Q15" s="103" t="str">
        <f t="shared" si="5"/>
        <v/>
      </c>
      <c r="R15" s="104"/>
      <c r="S15" s="104"/>
      <c r="T15" s="104"/>
      <c r="U15" s="104"/>
      <c r="V15" s="108" t="str">
        <f>IF(R15="","",DebtRange+EquityRange-T15)</f>
        <v/>
      </c>
      <c r="W15" s="109" t="str">
        <f t="shared" si="15"/>
        <v/>
      </c>
      <c r="X15" s="98" t="str">
        <f t="shared" si="6"/>
        <v/>
      </c>
      <c r="Y15" s="104"/>
      <c r="Z15" s="103" t="str">
        <f t="shared" si="7"/>
        <v/>
      </c>
      <c r="AA15" s="104"/>
      <c r="AB15" s="103" t="str">
        <f t="shared" si="8"/>
        <v/>
      </c>
      <c r="AC15" s="103" t="str">
        <f t="shared" si="9"/>
        <v/>
      </c>
      <c r="AD15" s="103" t="str">
        <f t="shared" si="10"/>
        <v/>
      </c>
      <c r="AE15" s="98" t="str">
        <f t="shared" si="11"/>
        <v/>
      </c>
      <c r="AF15" s="103" t="str">
        <f t="shared" si="12"/>
        <v/>
      </c>
      <c r="AG15" s="98" t="str">
        <f t="shared" si="13"/>
        <v/>
      </c>
    </row>
    <row r="16" ht="15.75" customHeight="1">
      <c r="A16" s="95"/>
      <c r="B16" s="96" t="str">
        <f>IF($C$3="H1","LTM ","FY ")&amp;$C$2-10</f>
        <v>FY 2011</v>
      </c>
      <c r="C16" s="104"/>
      <c r="D16" s="110"/>
      <c r="E16" s="104"/>
      <c r="F16" s="98" t="str">
        <f t="shared" si="2"/>
        <v/>
      </c>
      <c r="G16" s="110"/>
      <c r="H16" s="99" t="str">
        <f t="shared" si="4"/>
        <v/>
      </c>
      <c r="I16" s="111"/>
      <c r="J16" s="106"/>
      <c r="K16" s="112"/>
      <c r="L16" s="106"/>
      <c r="M16" s="104"/>
      <c r="N16" s="104"/>
      <c r="O16" s="104"/>
      <c r="P16" s="104"/>
      <c r="Q16" s="103" t="str">
        <f t="shared" si="5"/>
        <v/>
      </c>
      <c r="R16" s="104"/>
      <c r="S16" s="104"/>
      <c r="T16" s="104"/>
      <c r="U16" s="104"/>
      <c r="V16" s="108" t="str">
        <f>IF(R16="","",DebtRange+EquityRange-T16)</f>
        <v/>
      </c>
      <c r="W16" s="109" t="str">
        <f t="shared" si="15"/>
        <v/>
      </c>
      <c r="X16" s="98" t="str">
        <f t="shared" si="6"/>
        <v/>
      </c>
      <c r="Y16" s="104"/>
      <c r="Z16" s="103" t="str">
        <f t="shared" si="7"/>
        <v/>
      </c>
      <c r="AA16" s="104"/>
      <c r="AB16" s="103" t="str">
        <f t="shared" si="8"/>
        <v/>
      </c>
      <c r="AC16" s="103" t="str">
        <f t="shared" si="9"/>
        <v/>
      </c>
      <c r="AD16" s="110"/>
      <c r="AE16" s="98" t="str">
        <f t="shared" si="11"/>
        <v/>
      </c>
      <c r="AF16" s="113"/>
      <c r="AG16" s="113" t="str">
        <f>IF(AD16="","",(W16+AD16)/H16)</f>
        <v/>
      </c>
    </row>
    <row r="17" ht="15.75" customHeight="1">
      <c r="A17" s="28"/>
    </row>
    <row r="18" ht="15.75" customHeight="1">
      <c r="A18" s="28"/>
      <c r="B18" s="1" t="s">
        <v>172</v>
      </c>
      <c r="C18" s="87"/>
      <c r="D18" s="87"/>
      <c r="E18" s="87"/>
      <c r="F18" s="87"/>
    </row>
    <row r="19" ht="15.75" customHeight="1">
      <c r="A19" s="28"/>
      <c r="B19" s="114" t="s">
        <v>173</v>
      </c>
      <c r="C19" s="115"/>
      <c r="F19" s="65"/>
    </row>
    <row r="20" ht="15.75" customHeight="1">
      <c r="A20" s="28"/>
      <c r="B20" s="116" t="s">
        <v>174</v>
      </c>
      <c r="D20" s="117">
        <f>Dashboard!H10</f>
        <v>0.03</v>
      </c>
      <c r="E20" s="30"/>
      <c r="I20" s="56"/>
    </row>
    <row r="21" ht="15.75" customHeight="1">
      <c r="A21" s="28"/>
      <c r="B21" s="116" t="s">
        <v>175</v>
      </c>
      <c r="C21" s="56"/>
      <c r="D21" s="118" t="s">
        <v>176</v>
      </c>
      <c r="E21" s="30"/>
      <c r="I21" s="119"/>
    </row>
    <row r="22" ht="15.75" customHeight="1">
      <c r="A22" s="28"/>
      <c r="D22" s="28"/>
      <c r="I22" s="119"/>
    </row>
    <row r="23" ht="15.75" customHeight="1">
      <c r="A23" s="28"/>
      <c r="B23" s="65" t="s">
        <v>177</v>
      </c>
      <c r="D23" s="120">
        <f>E6</f>
        <v>3044.55</v>
      </c>
      <c r="E23" s="30"/>
      <c r="F23" s="121" t="str">
        <f>IF(D$21="No Adjustment","✓","")</f>
        <v>✓</v>
      </c>
      <c r="I23" s="119"/>
    </row>
    <row r="24" ht="15.75" customHeight="1">
      <c r="A24" s="28"/>
      <c r="B24" s="65" t="s">
        <v>178</v>
      </c>
      <c r="D24" s="120">
        <f>V6*AVERAGE(I6:I15)</f>
        <v>2304.229153</v>
      </c>
      <c r="E24" s="30"/>
      <c r="F24" s="121" t="str">
        <f>IF(D$21="Average pre-tax ROC","✓","")</f>
        <v/>
      </c>
      <c r="I24" s="119"/>
    </row>
    <row r="25" ht="15.75" customHeight="1">
      <c r="A25" s="28"/>
      <c r="B25" s="65" t="s">
        <v>179</v>
      </c>
      <c r="D25" s="122">
        <f>(9766.91+82.65+331.72+48.43-3841.47)*AVERAGE(I6:I8)</f>
        <v>2678.430503</v>
      </c>
      <c r="E25" s="30"/>
      <c r="F25" s="121" t="str">
        <f>IF(D$21="Direct Input","✓","")</f>
        <v/>
      </c>
    </row>
    <row r="26" ht="15.75" customHeight="1">
      <c r="A26" s="28"/>
    </row>
    <row r="27" ht="15.75" customHeight="1">
      <c r="A27" s="28"/>
      <c r="B27" s="114" t="s">
        <v>180</v>
      </c>
      <c r="C27" s="115"/>
    </row>
    <row r="28" ht="15.75" customHeight="1">
      <c r="A28" s="28"/>
      <c r="B28" s="65" t="s">
        <v>181</v>
      </c>
      <c r="D28" s="123">
        <v>0.25</v>
      </c>
      <c r="E28" s="30"/>
    </row>
    <row r="29" ht="15.75" customHeight="1">
      <c r="A29" s="28"/>
      <c r="B29" s="124" t="s">
        <v>182</v>
      </c>
      <c r="D29" s="118" t="s">
        <v>176</v>
      </c>
      <c r="E29" s="30"/>
      <c r="F29" s="125">
        <f>IF(D29="No Adjustment",D31,if(D29="Direct Input",D33,D32))</f>
        <v>0.120348854</v>
      </c>
    </row>
    <row r="30" ht="15.75" customHeight="1">
      <c r="A30" s="28"/>
    </row>
    <row r="31" ht="15.75" customHeight="1">
      <c r="A31" s="28"/>
      <c r="B31" s="65" t="s">
        <v>177</v>
      </c>
      <c r="D31" s="126">
        <f>K6</f>
        <v>0.120348854</v>
      </c>
      <c r="E31" s="30"/>
      <c r="F31" s="121" t="str">
        <f>IF(D$29="No Adjustment","✓","")</f>
        <v>✓</v>
      </c>
    </row>
    <row r="32" ht="15.75" customHeight="1">
      <c r="A32" s="28"/>
      <c r="B32" s="116" t="s">
        <v>183</v>
      </c>
      <c r="D32" s="126">
        <f>GEOMEAN(K6:K16)</f>
        <v>0.1321347466</v>
      </c>
      <c r="E32" s="30"/>
      <c r="F32" s="121" t="str">
        <f>IF(D$29="Average Effective Tax Rate","✓","")</f>
        <v/>
      </c>
    </row>
    <row r="33" ht="15.75" customHeight="1">
      <c r="A33" s="28"/>
      <c r="B33" s="116" t="s">
        <v>184</v>
      </c>
      <c r="D33" s="127">
        <f>D28</f>
        <v>0.25</v>
      </c>
      <c r="E33" s="30"/>
      <c r="F33" s="121" t="str">
        <f>IF(D$29="Direct Input","✓","")</f>
        <v/>
      </c>
    </row>
    <row r="34" ht="15.75" customHeight="1">
      <c r="A34" s="28"/>
      <c r="B34" s="28"/>
    </row>
    <row r="35" ht="15.75" customHeight="1">
      <c r="A35" s="28"/>
      <c r="B35" s="115" t="s">
        <v>185</v>
      </c>
      <c r="C35" s="115"/>
    </row>
    <row r="36" ht="15.75" customHeight="1">
      <c r="A36" s="28"/>
      <c r="B36" s="65" t="s">
        <v>186</v>
      </c>
      <c r="D36" s="128">
        <f>I6</f>
        <v>0.4263443777</v>
      </c>
      <c r="E36" s="30"/>
      <c r="F36" s="129"/>
    </row>
    <row r="37" ht="15.75" customHeight="1">
      <c r="A37" s="28"/>
      <c r="B37" s="65" t="s">
        <v>187</v>
      </c>
      <c r="D37" s="128">
        <f>AVERAGE(I6:I15)</f>
        <v>0.3668196766</v>
      </c>
      <c r="E37" s="30"/>
      <c r="F37" s="129"/>
    </row>
    <row r="38" ht="15.75" customHeight="1">
      <c r="A38" s="28"/>
      <c r="B38" s="116" t="s">
        <v>179</v>
      </c>
      <c r="D38" s="130"/>
      <c r="E38" s="30"/>
      <c r="F38" s="129"/>
    </row>
    <row r="39" ht="15.75" customHeight="1">
      <c r="A39" s="28"/>
    </row>
    <row r="40" ht="15.75" customHeight="1">
      <c r="A40" s="28"/>
      <c r="B40" s="114" t="s">
        <v>188</v>
      </c>
      <c r="C40" s="115"/>
    </row>
    <row r="41" ht="15.75" customHeight="1">
      <c r="A41" s="28"/>
      <c r="B41" s="65" t="s">
        <v>189</v>
      </c>
      <c r="D41" s="118" t="s">
        <v>190</v>
      </c>
      <c r="E41" s="30"/>
      <c r="F41" s="131"/>
    </row>
    <row r="42" ht="15.75" customHeight="1">
      <c r="A42" s="28"/>
    </row>
    <row r="43" ht="15.75" customHeight="1">
      <c r="A43" s="28"/>
      <c r="B43" s="65" t="s">
        <v>177</v>
      </c>
      <c r="D43" s="126">
        <f>AE6</f>
        <v>0.3709408522</v>
      </c>
      <c r="E43" s="30"/>
      <c r="F43" s="121" t="str">
        <f>IF(D$41="No Adjustment","✓","")</f>
        <v/>
      </c>
    </row>
    <row r="44" ht="15.75" customHeight="1">
      <c r="A44" s="28"/>
      <c r="B44" s="116" t="s">
        <v>191</v>
      </c>
      <c r="D44" s="126">
        <f>GEOMEAN(AE6:AE16)</f>
        <v>0.419491545</v>
      </c>
      <c r="E44" s="30"/>
      <c r="F44" s="121" t="str">
        <f>IF(D$41="Average WC/Sales","✓","")</f>
        <v/>
      </c>
    </row>
    <row r="45" ht="15.75" customHeight="1">
      <c r="A45" s="28"/>
      <c r="B45" s="65" t="s">
        <v>179</v>
      </c>
      <c r="D45" s="132">
        <f>AVERAGE(AE6:AE8)</f>
        <v>0.3746957532</v>
      </c>
      <c r="E45" s="30"/>
      <c r="F45" s="121" t="str">
        <f>IF(D$41="Direct Input","✓","")</f>
        <v>✓</v>
      </c>
    </row>
    <row r="46" ht="15.75" customHeight="1">
      <c r="A46" s="28"/>
    </row>
    <row r="47" ht="15.75" customHeight="1">
      <c r="A47" s="28"/>
      <c r="B47" s="115" t="s">
        <v>192</v>
      </c>
      <c r="C47" s="115"/>
    </row>
    <row r="48" ht="15.75" customHeight="1">
      <c r="A48" s="28"/>
      <c r="B48" s="65" t="s">
        <v>193</v>
      </c>
      <c r="D48" s="133">
        <f>Q6</f>
        <v>641.2</v>
      </c>
      <c r="E48" s="30"/>
    </row>
    <row r="49" ht="15.75" customHeight="1">
      <c r="A49" s="28"/>
      <c r="B49" s="65" t="s">
        <v>194</v>
      </c>
      <c r="D49" s="122">
        <v>0.0</v>
      </c>
      <c r="E49" s="30"/>
    </row>
    <row r="50" ht="15.75" customHeight="1">
      <c r="A50" s="28"/>
    </row>
    <row r="51" ht="15.75" customHeight="1">
      <c r="A51" s="28"/>
      <c r="B51" s="115" t="s">
        <v>195</v>
      </c>
      <c r="C51" s="115"/>
    </row>
    <row r="52" ht="15.75" customHeight="1">
      <c r="A52" s="28"/>
      <c r="B52" s="116" t="s">
        <v>196</v>
      </c>
      <c r="D52" s="118" t="s">
        <v>197</v>
      </c>
      <c r="E52" s="30"/>
      <c r="F52" s="134">
        <f>IF(D52="Direct Input",D55,D54)</f>
        <v>0</v>
      </c>
    </row>
    <row r="53" ht="15.75" customHeight="1">
      <c r="A53" s="28"/>
    </row>
    <row r="54" ht="15.75" customHeight="1">
      <c r="A54" s="28"/>
      <c r="B54" s="116" t="s">
        <v>198</v>
      </c>
      <c r="D54" s="120">
        <f>U6</f>
        <v>0</v>
      </c>
      <c r="E54" s="30"/>
    </row>
    <row r="55" ht="15.75" customHeight="1">
      <c r="A55" s="28"/>
      <c r="B55" s="65" t="s">
        <v>199</v>
      </c>
      <c r="D55" s="135"/>
      <c r="E55" s="30"/>
    </row>
    <row r="56" ht="15.75" customHeight="1">
      <c r="A56" s="28"/>
    </row>
    <row r="57" ht="15.75" customHeight="1">
      <c r="A57" s="28"/>
      <c r="B57" s="136" t="s">
        <v>200</v>
      </c>
      <c r="C57" s="115"/>
    </row>
    <row r="58" ht="15.75" customHeight="1">
      <c r="A58" s="28"/>
      <c r="B58" s="65" t="s">
        <v>201</v>
      </c>
      <c r="D58" s="130" t="s">
        <v>202</v>
      </c>
      <c r="E58" s="30"/>
      <c r="F58" s="137">
        <f>IF(D58="BV of the MI",D60,IF(D58="P/E Approach",D61,IF(D58="Direct Input",D63,D62)))</f>
        <v>43.56</v>
      </c>
    </row>
    <row r="59" ht="15.75" customHeight="1">
      <c r="A59" s="28"/>
    </row>
    <row r="60" ht="15.75" customHeight="1">
      <c r="A60" s="28"/>
      <c r="B60" s="65" t="s">
        <v>203</v>
      </c>
      <c r="D60" s="120">
        <f>S6</f>
        <v>43.56</v>
      </c>
      <c r="E60" s="30"/>
    </row>
    <row r="61" ht="15.75" customHeight="1">
      <c r="A61" s="28"/>
      <c r="B61" s="65" t="s">
        <v>204</v>
      </c>
      <c r="D61" s="120">
        <f>L6*Dashboard!C9</f>
        <v>110.49696</v>
      </c>
      <c r="E61" s="30"/>
    </row>
    <row r="62" ht="15.75" customHeight="1">
      <c r="A62" s="28"/>
      <c r="B62" s="65" t="s">
        <v>205</v>
      </c>
      <c r="D62" s="120">
        <f>D60*Dashboard!C10</f>
        <v>257.0046629</v>
      </c>
      <c r="E62" s="30"/>
    </row>
    <row r="63" ht="15.75" customHeight="1">
      <c r="A63" s="28"/>
      <c r="B63" s="65" t="s">
        <v>206</v>
      </c>
      <c r="D63" s="122"/>
      <c r="E63" s="30"/>
    </row>
    <row r="64" ht="15.75" customHeight="1">
      <c r="A64" s="28"/>
    </row>
    <row r="65" ht="15.75" customHeight="1">
      <c r="A65" s="28"/>
      <c r="B65" s="115" t="s">
        <v>207</v>
      </c>
      <c r="C65" s="115"/>
    </row>
    <row r="66" ht="15.75" customHeight="1">
      <c r="A66" s="28"/>
      <c r="B66" s="65" t="s">
        <v>208</v>
      </c>
      <c r="D66" s="118" t="s">
        <v>197</v>
      </c>
      <c r="E66" s="30"/>
    </row>
    <row r="67" ht="15.75" customHeight="1">
      <c r="A67" s="28"/>
      <c r="B67" s="65" t="s">
        <v>209</v>
      </c>
      <c r="D67" s="138">
        <v>5.0</v>
      </c>
      <c r="E67" s="30"/>
    </row>
    <row r="68" ht="15.75" customHeight="1">
      <c r="A68" s="28"/>
      <c r="B68" s="139" t="s">
        <v>210</v>
      </c>
      <c r="C68" s="139" t="s">
        <v>211</v>
      </c>
      <c r="D68" s="140" t="s">
        <v>212</v>
      </c>
      <c r="E68" s="30"/>
      <c r="F68" s="141" t="s">
        <v>213</v>
      </c>
    </row>
    <row r="69" ht="15.75" customHeight="1">
      <c r="A69" s="28"/>
      <c r="B69" s="142" t="str">
        <f>B6</f>
        <v>FY 2021</v>
      </c>
      <c r="C69" s="143">
        <v>636.06</v>
      </c>
      <c r="D69" s="142">
        <f>1</f>
        <v>1</v>
      </c>
      <c r="E69" s="144">
        <f t="shared" ref="E69:E79" si="16">C69*D69</f>
        <v>636.06</v>
      </c>
      <c r="F69" s="145">
        <v>0.0</v>
      </c>
    </row>
    <row r="70" ht="15.75" customHeight="1">
      <c r="A70" s="28"/>
      <c r="B70" s="144">
        <f>IF(C7="","",-1)</f>
        <v>-1</v>
      </c>
      <c r="C70" s="143">
        <v>308.64</v>
      </c>
      <c r="D70" s="142">
        <f t="shared" ref="D70:D79" si="17">IF(B70&lt;0,(D$67+B70)/D$67,0)</f>
        <v>0.8</v>
      </c>
      <c r="E70" s="144">
        <f t="shared" si="16"/>
        <v>246.912</v>
      </c>
      <c r="F70" s="145">
        <f t="shared" ref="F70:F79" si="18">IF(B70&lt;0,C70/$D$67,0)</f>
        <v>61.728</v>
      </c>
    </row>
    <row r="71" ht="15.75" customHeight="1">
      <c r="A71" s="28"/>
      <c r="B71" s="144">
        <f t="shared" ref="B71:B79" si="19">IF((0-B70)&lt;$D$67,IF(B70&gt;-1, ,B70-1), )</f>
        <v>-2</v>
      </c>
      <c r="C71" s="143">
        <v>242.04</v>
      </c>
      <c r="D71" s="142">
        <f t="shared" si="17"/>
        <v>0.6</v>
      </c>
      <c r="E71" s="144">
        <f t="shared" si="16"/>
        <v>145.224</v>
      </c>
      <c r="F71" s="145">
        <f t="shared" si="18"/>
        <v>48.408</v>
      </c>
    </row>
    <row r="72" ht="15.75" customHeight="1">
      <c r="A72" s="28"/>
      <c r="B72" s="144">
        <f t="shared" si="19"/>
        <v>-3</v>
      </c>
      <c r="C72" s="143">
        <v>171.7</v>
      </c>
      <c r="D72" s="142">
        <f t="shared" si="17"/>
        <v>0.4</v>
      </c>
      <c r="E72" s="144">
        <f t="shared" si="16"/>
        <v>68.68</v>
      </c>
      <c r="F72" s="145">
        <f t="shared" si="18"/>
        <v>34.34</v>
      </c>
    </row>
    <row r="73" ht="15.75" customHeight="1">
      <c r="A73" s="28"/>
      <c r="B73" s="144">
        <f t="shared" si="19"/>
        <v>-4</v>
      </c>
      <c r="C73" s="143">
        <v>125.08</v>
      </c>
      <c r="D73" s="142">
        <f t="shared" si="17"/>
        <v>0.2</v>
      </c>
      <c r="E73" s="144">
        <f t="shared" si="16"/>
        <v>25.016</v>
      </c>
      <c r="F73" s="145">
        <f t="shared" si="18"/>
        <v>25.016</v>
      </c>
    </row>
    <row r="74" ht="15.75" customHeight="1">
      <c r="A74" s="28"/>
      <c r="B74" s="144">
        <f t="shared" si="19"/>
        <v>-5</v>
      </c>
      <c r="C74" s="143">
        <v>0.0</v>
      </c>
      <c r="D74" s="142">
        <f t="shared" si="17"/>
        <v>0</v>
      </c>
      <c r="E74" s="144">
        <f t="shared" si="16"/>
        <v>0</v>
      </c>
      <c r="F74" s="145">
        <f t="shared" si="18"/>
        <v>0</v>
      </c>
    </row>
    <row r="75" ht="15.75" customHeight="1">
      <c r="A75" s="28"/>
      <c r="B75" s="144" t="str">
        <f t="shared" si="19"/>
        <v/>
      </c>
      <c r="C75" s="146"/>
      <c r="D75" s="142">
        <f t="shared" si="17"/>
        <v>0</v>
      </c>
      <c r="E75" s="144">
        <f t="shared" si="16"/>
        <v>0</v>
      </c>
      <c r="F75" s="145">
        <f t="shared" si="18"/>
        <v>0</v>
      </c>
    </row>
    <row r="76" ht="15.75" customHeight="1">
      <c r="A76" s="28"/>
      <c r="B76" s="144" t="str">
        <f t="shared" si="19"/>
        <v/>
      </c>
      <c r="C76" s="146"/>
      <c r="D76" s="142">
        <f t="shared" si="17"/>
        <v>0</v>
      </c>
      <c r="E76" s="144">
        <f t="shared" si="16"/>
        <v>0</v>
      </c>
      <c r="F76" s="145">
        <f t="shared" si="18"/>
        <v>0</v>
      </c>
    </row>
    <row r="77" ht="15.75" customHeight="1">
      <c r="A77" s="28"/>
      <c r="B77" s="144" t="str">
        <f t="shared" si="19"/>
        <v/>
      </c>
      <c r="C77" s="146"/>
      <c r="D77" s="142">
        <f t="shared" si="17"/>
        <v>0</v>
      </c>
      <c r="E77" s="144">
        <f t="shared" si="16"/>
        <v>0</v>
      </c>
      <c r="F77" s="145">
        <f t="shared" si="18"/>
        <v>0</v>
      </c>
    </row>
    <row r="78" ht="15.75" customHeight="1">
      <c r="A78" s="28"/>
      <c r="B78" s="144" t="str">
        <f t="shared" si="19"/>
        <v/>
      </c>
      <c r="C78" s="146"/>
      <c r="D78" s="142">
        <f t="shared" si="17"/>
        <v>0</v>
      </c>
      <c r="E78" s="144">
        <f t="shared" si="16"/>
        <v>0</v>
      </c>
      <c r="F78" s="145">
        <f t="shared" si="18"/>
        <v>0</v>
      </c>
    </row>
    <row r="79" ht="15.75" customHeight="1">
      <c r="A79" s="28"/>
      <c r="B79" s="144" t="str">
        <f t="shared" si="19"/>
        <v/>
      </c>
      <c r="C79" s="146"/>
      <c r="D79" s="142">
        <f t="shared" si="17"/>
        <v>0</v>
      </c>
      <c r="E79" s="144">
        <f t="shared" si="16"/>
        <v>0</v>
      </c>
      <c r="F79" s="145">
        <f t="shared" si="18"/>
        <v>0</v>
      </c>
    </row>
    <row r="80" ht="15.75" customHeight="1">
      <c r="A80" s="28"/>
      <c r="B80" s="147" t="s">
        <v>214</v>
      </c>
      <c r="C80" s="148"/>
      <c r="D80" s="148"/>
      <c r="E80" s="144">
        <f>SUM(E69:E79)</f>
        <v>1121.892</v>
      </c>
      <c r="F80" s="148"/>
    </row>
    <row r="81" ht="15.75" customHeight="1">
      <c r="A81" s="28"/>
      <c r="B81" s="147" t="s">
        <v>215</v>
      </c>
      <c r="C81" s="148"/>
      <c r="D81" s="148"/>
      <c r="F81" s="145">
        <f>SUM(F70:F79)</f>
        <v>169.492</v>
      </c>
    </row>
    <row r="82" ht="15.75" customHeight="1">
      <c r="A82" s="28"/>
      <c r="B82" s="149"/>
      <c r="C82" s="150" t="s">
        <v>216</v>
      </c>
      <c r="D82" s="151" t="s">
        <v>217</v>
      </c>
      <c r="E82" s="148"/>
      <c r="F82" s="148"/>
    </row>
    <row r="83" ht="15.75" customHeight="1">
      <c r="A83" s="28"/>
      <c r="B83" s="152" t="s">
        <v>218</v>
      </c>
      <c r="C83" s="99">
        <f>IF(D21="No Adjustment",D23,IF(D21="Direct Input",D25,D24))</f>
        <v>3044.55</v>
      </c>
      <c r="D83" s="153">
        <f>C83+C69-F81</f>
        <v>3511.118</v>
      </c>
    </row>
    <row r="84" ht="15.75" customHeight="1">
      <c r="A84" s="28"/>
      <c r="B84" s="152" t="s">
        <v>49</v>
      </c>
      <c r="C84" s="154">
        <f t="shared" ref="C84:D84" si="20">C83/$C$6</f>
        <v>0.3270467343</v>
      </c>
      <c r="D84" s="154">
        <f t="shared" si="20"/>
        <v>0.3771656487</v>
      </c>
      <c r="E84" s="155"/>
      <c r="F84" s="155"/>
    </row>
    <row r="85" ht="15.75" customHeight="1">
      <c r="A85" s="28"/>
      <c r="B85" s="152" t="s">
        <v>147</v>
      </c>
      <c r="C85" s="153">
        <f>H6</f>
        <v>2678.141897</v>
      </c>
      <c r="D85" s="153">
        <f>C85+C69-F81</f>
        <v>3144.709897</v>
      </c>
      <c r="E85" s="156" t="s">
        <v>219</v>
      </c>
      <c r="F85" s="156" t="s">
        <v>220</v>
      </c>
    </row>
    <row r="86" ht="15.75" customHeight="1">
      <c r="A86" s="28"/>
      <c r="B86" s="152" t="s">
        <v>221</v>
      </c>
      <c r="C86" s="153">
        <f>F3</f>
        <v>2693.6</v>
      </c>
      <c r="D86" s="153">
        <f>C86+C69-F81</f>
        <v>3160.168</v>
      </c>
      <c r="E86" s="157" t="s">
        <v>222</v>
      </c>
      <c r="F86" s="158" t="s">
        <v>223</v>
      </c>
    </row>
    <row r="87" ht="15.75" customHeight="1">
      <c r="A87" s="28"/>
      <c r="B87" s="152" t="s">
        <v>224</v>
      </c>
      <c r="C87" s="153">
        <f>V6</f>
        <v>6281.64</v>
      </c>
      <c r="D87" s="153">
        <f>C87+E80</f>
        <v>7403.532</v>
      </c>
      <c r="E87" s="157" t="s">
        <v>225</v>
      </c>
      <c r="F87" s="158" t="s">
        <v>226</v>
      </c>
    </row>
    <row r="88" ht="15.75" customHeight="1">
      <c r="A88" s="28"/>
      <c r="B88" s="152" t="s">
        <v>227</v>
      </c>
      <c r="C88" s="154">
        <f t="shared" ref="C88:D88" si="21">C85/C87</f>
        <v>0.4263443777</v>
      </c>
      <c r="D88" s="154">
        <f t="shared" si="21"/>
        <v>0.424758061</v>
      </c>
      <c r="E88" s="157" t="s">
        <v>228</v>
      </c>
      <c r="F88" s="158" t="s">
        <v>229</v>
      </c>
    </row>
    <row r="89" ht="15.75" customHeight="1">
      <c r="A89" s="28"/>
      <c r="B89" s="152" t="s">
        <v>165</v>
      </c>
      <c r="C89" s="153">
        <f>Z6</f>
        <v>140.6732261</v>
      </c>
      <c r="D89" s="153">
        <f>C89+C69</f>
        <v>776.7332261</v>
      </c>
      <c r="E89" s="157" t="s">
        <v>230</v>
      </c>
      <c r="F89" s="158" t="s">
        <v>231</v>
      </c>
    </row>
    <row r="90" ht="15.75" customHeight="1">
      <c r="A90" s="28"/>
      <c r="B90" s="152" t="s">
        <v>167</v>
      </c>
      <c r="C90" s="153">
        <f t="shared" ref="C90:D90" si="22">C89+$AA$6</f>
        <v>140.6732261</v>
      </c>
      <c r="D90" s="153">
        <f t="shared" si="22"/>
        <v>776.7332261</v>
      </c>
      <c r="E90" s="157" t="s">
        <v>232</v>
      </c>
      <c r="F90" s="158" t="s">
        <v>231</v>
      </c>
    </row>
    <row r="91" ht="15.75" customHeight="1">
      <c r="A91" s="28"/>
      <c r="B91" s="152" t="s">
        <v>164</v>
      </c>
      <c r="C91" s="153">
        <f>Y6</f>
        <v>38.6832261</v>
      </c>
      <c r="D91" s="153">
        <f>C91+F81</f>
        <v>208.1752261</v>
      </c>
      <c r="E91" s="157" t="s">
        <v>233</v>
      </c>
      <c r="F91" s="158" t="s">
        <v>231</v>
      </c>
    </row>
    <row r="92" ht="15.75" customHeight="1">
      <c r="A92" s="28"/>
      <c r="B92" s="159" t="s">
        <v>234</v>
      </c>
      <c r="C92" s="160">
        <f t="shared" ref="C92:D92" si="23">C90-C91</f>
        <v>101.99</v>
      </c>
      <c r="D92" s="160">
        <f t="shared" si="23"/>
        <v>568.558</v>
      </c>
    </row>
    <row r="93" ht="15.75" customHeight="1">
      <c r="A93" s="28"/>
      <c r="B93" s="159" t="s">
        <v>163</v>
      </c>
      <c r="C93" s="161">
        <f t="shared" ref="C93:D93" si="24">C92/$C$6</f>
        <v>0.01095580511</v>
      </c>
      <c r="D93" s="161">
        <f t="shared" si="24"/>
        <v>0.06107471947</v>
      </c>
    </row>
    <row r="94" ht="15.75" customHeight="1">
      <c r="A94" s="28"/>
      <c r="B94" s="159" t="s">
        <v>171</v>
      </c>
      <c r="C94" s="160">
        <f t="shared" ref="C94:D94" si="25">C92+$AD$6</f>
        <v>569.85</v>
      </c>
      <c r="D94" s="160">
        <f t="shared" si="25"/>
        <v>1036.418</v>
      </c>
    </row>
    <row r="95" ht="15.75" customHeight="1">
      <c r="A95" s="28"/>
      <c r="B95" s="159" t="s">
        <v>52</v>
      </c>
      <c r="C95" s="161">
        <f t="shared" ref="C95:D95" si="26">C94/C85</f>
        <v>0.2127781208</v>
      </c>
      <c r="D95" s="161">
        <f t="shared" si="26"/>
        <v>0.329575075</v>
      </c>
    </row>
    <row r="96" ht="15.75" customHeight="1">
      <c r="A96" s="28"/>
    </row>
    <row r="97" ht="15.75" customHeight="1">
      <c r="A97" s="28"/>
    </row>
    <row r="98" ht="15.75" customHeight="1">
      <c r="A98" s="28"/>
    </row>
    <row r="99" ht="15.75" customHeight="1">
      <c r="A99" s="28"/>
    </row>
    <row r="100" ht="15.75" customHeight="1">
      <c r="A100" s="28"/>
    </row>
    <row r="101" ht="15.75" customHeight="1">
      <c r="A101" s="28"/>
    </row>
    <row r="102" ht="15.75" customHeight="1">
      <c r="A102" s="28"/>
    </row>
    <row r="103" ht="15.75" customHeight="1">
      <c r="A103" s="28"/>
    </row>
    <row r="104" ht="15.75" customHeight="1">
      <c r="A104" s="28"/>
    </row>
    <row r="105" ht="15.75" customHeight="1">
      <c r="A105" s="28"/>
    </row>
    <row r="106" ht="15.75" customHeight="1">
      <c r="A106" s="28"/>
    </row>
    <row r="107" ht="15.75" customHeight="1">
      <c r="A107" s="28"/>
    </row>
    <row r="108" ht="15.75" customHeight="1">
      <c r="A108" s="28"/>
    </row>
    <row r="109" ht="15.75" customHeight="1">
      <c r="A109" s="28"/>
    </row>
    <row r="110" ht="15.75" customHeight="1">
      <c r="A110" s="28"/>
    </row>
    <row r="111" ht="15.75" customHeight="1">
      <c r="A111" s="28"/>
    </row>
    <row r="112" ht="15.75" customHeight="1">
      <c r="A112" s="28"/>
    </row>
    <row r="113" ht="15.75" customHeight="1">
      <c r="A113" s="28"/>
    </row>
    <row r="114" ht="15.75" customHeight="1">
      <c r="A114" s="28"/>
    </row>
    <row r="115" ht="15.75" customHeight="1">
      <c r="A115" s="28"/>
    </row>
    <row r="116" ht="15.75" customHeight="1">
      <c r="A116" s="28"/>
    </row>
    <row r="117" ht="15.75" customHeight="1">
      <c r="A117" s="28"/>
    </row>
    <row r="118" ht="15.75" customHeight="1">
      <c r="A118" s="28"/>
    </row>
    <row r="119" ht="15.75" customHeight="1">
      <c r="A119" s="28"/>
    </row>
    <row r="120" ht="15.75" customHeight="1">
      <c r="A120" s="28"/>
    </row>
    <row r="121" ht="15.75" customHeight="1">
      <c r="A121" s="28"/>
    </row>
    <row r="122" ht="15.75" customHeight="1">
      <c r="A122" s="28"/>
    </row>
    <row r="123" ht="15.75" customHeight="1">
      <c r="A123" s="28"/>
    </row>
    <row r="124" ht="15.75" customHeight="1">
      <c r="A124" s="28"/>
    </row>
    <row r="125" ht="15.75" customHeight="1">
      <c r="A125" s="28"/>
    </row>
    <row r="126" ht="15.75" customHeight="1">
      <c r="A126" s="28"/>
    </row>
    <row r="127" ht="15.75" customHeight="1">
      <c r="A127" s="28"/>
    </row>
    <row r="128" ht="15.75" customHeight="1">
      <c r="A128" s="28"/>
    </row>
    <row r="129" ht="15.75" customHeight="1">
      <c r="A129" s="28"/>
    </row>
    <row r="130" ht="15.75" customHeight="1">
      <c r="A130" s="28"/>
    </row>
    <row r="131" ht="15.75" customHeight="1">
      <c r="A131" s="28"/>
    </row>
    <row r="132" ht="15.75" customHeight="1">
      <c r="A132" s="28"/>
    </row>
    <row r="133" ht="15.75" customHeight="1">
      <c r="A133" s="28"/>
    </row>
    <row r="134" ht="15.75" customHeight="1">
      <c r="A134" s="28"/>
    </row>
    <row r="135" ht="15.75" customHeight="1">
      <c r="A135" s="28"/>
    </row>
    <row r="136" ht="15.75" customHeight="1">
      <c r="A136" s="28"/>
    </row>
    <row r="137" ht="15.75" customHeight="1">
      <c r="A137" s="28"/>
    </row>
    <row r="138" ht="15.75" customHeight="1">
      <c r="A138" s="28"/>
    </row>
    <row r="139" ht="15.75" customHeight="1">
      <c r="A139" s="28"/>
    </row>
    <row r="140" ht="15.75" customHeight="1">
      <c r="A140" s="28"/>
    </row>
    <row r="141" ht="15.75" customHeight="1">
      <c r="A141" s="28"/>
    </row>
    <row r="142" ht="15.75" customHeight="1">
      <c r="A142" s="28"/>
    </row>
    <row r="143" ht="15.75" customHeight="1">
      <c r="A143" s="28"/>
    </row>
    <row r="144" ht="15.75" customHeight="1">
      <c r="A144" s="28"/>
    </row>
    <row r="145" ht="15.75" customHeight="1">
      <c r="A145" s="28"/>
    </row>
    <row r="146" ht="15.75" customHeight="1">
      <c r="A146" s="28"/>
    </row>
    <row r="147" ht="15.75" customHeight="1">
      <c r="A147" s="28"/>
    </row>
    <row r="148" ht="15.75" customHeight="1">
      <c r="A148" s="28"/>
    </row>
    <row r="149" ht="15.75" customHeight="1">
      <c r="A149" s="28"/>
    </row>
    <row r="150" ht="15.75" customHeight="1">
      <c r="A150" s="28"/>
    </row>
    <row r="151" ht="15.75" customHeight="1">
      <c r="A151" s="28"/>
    </row>
    <row r="152" ht="15.75" customHeight="1">
      <c r="A152" s="28"/>
    </row>
    <row r="153" ht="15.75" customHeight="1">
      <c r="A153" s="28"/>
    </row>
    <row r="154" ht="15.75" customHeight="1">
      <c r="A154" s="28"/>
    </row>
    <row r="155" ht="15.75" customHeight="1">
      <c r="A155" s="28"/>
    </row>
    <row r="156" ht="15.75" customHeight="1">
      <c r="A156" s="28"/>
    </row>
    <row r="157" ht="15.75" customHeight="1">
      <c r="A157" s="28"/>
    </row>
    <row r="158" ht="15.75" customHeight="1">
      <c r="A158" s="28"/>
    </row>
    <row r="159" ht="15.75" customHeight="1">
      <c r="A159" s="28"/>
    </row>
    <row r="160" ht="15.75" customHeight="1">
      <c r="A160" s="28"/>
    </row>
    <row r="161" ht="15.75" customHeight="1">
      <c r="A161" s="28"/>
    </row>
    <row r="162" ht="15.75" customHeight="1">
      <c r="A162" s="28"/>
    </row>
    <row r="163" ht="15.75" customHeight="1">
      <c r="A163" s="28"/>
    </row>
    <row r="164" ht="15.75" customHeight="1">
      <c r="A164" s="28"/>
    </row>
    <row r="165" ht="15.75" customHeight="1">
      <c r="A165" s="28"/>
    </row>
    <row r="166" ht="15.75" customHeight="1">
      <c r="A166" s="28"/>
    </row>
    <row r="167" ht="15.75" customHeight="1">
      <c r="A167" s="28"/>
    </row>
    <row r="168" ht="15.75" customHeight="1">
      <c r="A168" s="28"/>
    </row>
    <row r="169" ht="15.75" customHeight="1">
      <c r="A169" s="28"/>
    </row>
    <row r="170" ht="15.75" customHeight="1">
      <c r="A170" s="28"/>
    </row>
    <row r="171" ht="15.75" customHeight="1">
      <c r="A171" s="28"/>
    </row>
    <row r="172" ht="15.75" customHeight="1">
      <c r="A172" s="28"/>
    </row>
    <row r="173" ht="15.75" customHeight="1">
      <c r="A173" s="28"/>
    </row>
    <row r="174" ht="15.75" customHeight="1">
      <c r="A174" s="28"/>
    </row>
    <row r="175" ht="15.75" customHeight="1">
      <c r="A175" s="28"/>
    </row>
    <row r="176" ht="15.75" customHeight="1">
      <c r="A176" s="28"/>
    </row>
    <row r="177" ht="15.75" customHeight="1">
      <c r="A177" s="28"/>
    </row>
    <row r="178" ht="15.75" customHeight="1">
      <c r="A178" s="28"/>
    </row>
    <row r="179" ht="15.75" customHeight="1">
      <c r="A179" s="28"/>
    </row>
    <row r="180" ht="15.75" customHeight="1">
      <c r="A180" s="28"/>
    </row>
    <row r="181" ht="15.75" customHeight="1">
      <c r="A181" s="28"/>
    </row>
    <row r="182" ht="15.75" customHeight="1">
      <c r="A182" s="28"/>
    </row>
    <row r="183" ht="15.75" customHeight="1">
      <c r="A183" s="28"/>
    </row>
    <row r="184" ht="15.75" customHeight="1">
      <c r="A184" s="28"/>
    </row>
    <row r="185" ht="15.75" customHeight="1">
      <c r="A185" s="28"/>
    </row>
    <row r="186" ht="15.75" customHeight="1">
      <c r="A186" s="28"/>
    </row>
    <row r="187" ht="15.75" customHeight="1">
      <c r="A187" s="28"/>
    </row>
    <row r="188" ht="15.75" customHeight="1">
      <c r="A188" s="28"/>
    </row>
    <row r="189" ht="15.75" customHeight="1">
      <c r="A189" s="28"/>
    </row>
    <row r="190" ht="15.75" customHeight="1">
      <c r="A190" s="28"/>
    </row>
    <row r="191" ht="15.75" customHeight="1">
      <c r="A191" s="28"/>
    </row>
    <row r="192" ht="15.75" customHeight="1">
      <c r="A192" s="28"/>
    </row>
    <row r="193" ht="15.75" customHeight="1">
      <c r="A193" s="28"/>
    </row>
    <row r="194" ht="15.75" customHeight="1">
      <c r="A194" s="28"/>
    </row>
    <row r="195" ht="15.75" customHeight="1">
      <c r="A195" s="28"/>
    </row>
    <row r="196" ht="15.75" customHeight="1">
      <c r="A196" s="28"/>
    </row>
    <row r="197" ht="15.75" customHeight="1">
      <c r="A197" s="28"/>
    </row>
    <row r="198" ht="15.75" customHeight="1">
      <c r="A198" s="28"/>
    </row>
    <row r="199" ht="15.75" customHeight="1">
      <c r="A199" s="28"/>
    </row>
    <row r="200" ht="15.75" customHeight="1">
      <c r="A200" s="28"/>
    </row>
    <row r="201" ht="15.75" customHeight="1">
      <c r="A201" s="28"/>
    </row>
    <row r="202" ht="15.75" customHeight="1">
      <c r="A202" s="28"/>
    </row>
    <row r="203" ht="15.75" customHeight="1">
      <c r="A203" s="28"/>
    </row>
    <row r="204" ht="15.75" customHeight="1">
      <c r="A204" s="28"/>
    </row>
    <row r="205" ht="15.75" customHeight="1">
      <c r="A205" s="28"/>
    </row>
    <row r="206" ht="15.75" customHeight="1">
      <c r="A206" s="28"/>
    </row>
    <row r="207" ht="15.75" customHeight="1">
      <c r="A207" s="28"/>
    </row>
    <row r="208" ht="15.75" customHeight="1">
      <c r="A208" s="28"/>
    </row>
    <row r="209" ht="15.75" customHeight="1">
      <c r="A209" s="28"/>
    </row>
    <row r="210" ht="15.75" customHeight="1">
      <c r="A210" s="28"/>
    </row>
    <row r="211" ht="15.75" customHeight="1">
      <c r="A211" s="28"/>
    </row>
    <row r="212" ht="15.75" customHeight="1">
      <c r="A212" s="28"/>
    </row>
    <row r="213" ht="15.75" customHeight="1">
      <c r="A213" s="28"/>
    </row>
    <row r="214" ht="15.75" customHeight="1">
      <c r="A214" s="28"/>
    </row>
    <row r="215" ht="15.75" customHeight="1">
      <c r="A215" s="28"/>
    </row>
    <row r="216" ht="15.75" customHeight="1">
      <c r="A216" s="28"/>
    </row>
    <row r="217" ht="15.75" customHeight="1">
      <c r="A217" s="28"/>
    </row>
    <row r="218" ht="15.75" customHeight="1">
      <c r="A218" s="28"/>
    </row>
    <row r="219" ht="15.75" customHeight="1">
      <c r="A219" s="28"/>
    </row>
    <row r="220" ht="15.75" customHeight="1">
      <c r="A220" s="28"/>
    </row>
    <row r="221" ht="15.75" customHeight="1">
      <c r="A221" s="28"/>
    </row>
    <row r="222" ht="15.75" customHeight="1">
      <c r="A222" s="28"/>
    </row>
    <row r="223" ht="15.75" customHeight="1">
      <c r="A223" s="28"/>
    </row>
    <row r="224" ht="15.75" customHeight="1">
      <c r="A224" s="28"/>
    </row>
    <row r="225" ht="15.75" customHeight="1">
      <c r="A225" s="28"/>
    </row>
    <row r="226" ht="15.75" customHeight="1">
      <c r="A226" s="28"/>
    </row>
    <row r="227" ht="15.75" customHeight="1">
      <c r="A227" s="28"/>
    </row>
    <row r="228" ht="15.75" customHeight="1">
      <c r="A228" s="28"/>
    </row>
    <row r="229" ht="15.75" customHeight="1">
      <c r="A229" s="28"/>
    </row>
    <row r="230" ht="15.75" customHeight="1">
      <c r="A230" s="28"/>
    </row>
    <row r="231" ht="15.75" customHeight="1">
      <c r="A231" s="28"/>
    </row>
    <row r="232" ht="15.75" customHeight="1">
      <c r="A232" s="28"/>
    </row>
    <row r="233" ht="15.75" customHeight="1">
      <c r="A233" s="28"/>
    </row>
    <row r="234" ht="15.75" customHeight="1">
      <c r="A234" s="28"/>
    </row>
    <row r="235" ht="15.75" customHeight="1">
      <c r="A235" s="28"/>
    </row>
    <row r="236" ht="15.75" customHeight="1">
      <c r="A236" s="28"/>
    </row>
    <row r="237" ht="15.75" customHeight="1">
      <c r="A237" s="28"/>
    </row>
    <row r="238" ht="15.75" customHeight="1">
      <c r="A238" s="28"/>
    </row>
    <row r="239" ht="15.75" customHeight="1">
      <c r="A239" s="28"/>
    </row>
    <row r="240" ht="15.75" customHeight="1">
      <c r="A240" s="28"/>
    </row>
    <row r="241" ht="15.75" customHeight="1">
      <c r="A241" s="28"/>
    </row>
    <row r="242" ht="15.75" customHeight="1">
      <c r="A242" s="28"/>
    </row>
    <row r="243" ht="15.75" customHeight="1">
      <c r="A243" s="28"/>
    </row>
    <row r="244" ht="15.75" customHeight="1">
      <c r="A244" s="28"/>
    </row>
    <row r="245" ht="15.75" customHeight="1">
      <c r="A245" s="28"/>
    </row>
    <row r="246" ht="15.75" customHeight="1">
      <c r="A246" s="28"/>
    </row>
    <row r="247" ht="15.75" customHeight="1">
      <c r="A247" s="28"/>
    </row>
    <row r="248" ht="15.75" customHeight="1">
      <c r="A248" s="28"/>
    </row>
    <row r="249" ht="15.75" customHeight="1">
      <c r="A249" s="28"/>
    </row>
    <row r="250" ht="15.75" customHeight="1">
      <c r="A250" s="28"/>
    </row>
    <row r="251" ht="15.75" customHeight="1">
      <c r="A251" s="28"/>
    </row>
    <row r="252" ht="15.75" customHeight="1">
      <c r="A252" s="28"/>
    </row>
    <row r="253" ht="15.75" customHeight="1">
      <c r="A253" s="28"/>
    </row>
    <row r="254" ht="15.75" customHeight="1">
      <c r="A254" s="28"/>
    </row>
    <row r="255" ht="15.75" customHeight="1">
      <c r="A255" s="28"/>
    </row>
    <row r="256" ht="15.75" customHeight="1">
      <c r="A256" s="28"/>
    </row>
    <row r="257" ht="15.75" customHeight="1">
      <c r="A257" s="28"/>
    </row>
    <row r="258" ht="15.75" customHeight="1">
      <c r="A258" s="28"/>
    </row>
    <row r="259" ht="15.75" customHeight="1">
      <c r="A259" s="28"/>
    </row>
    <row r="260" ht="15.75" customHeight="1">
      <c r="A260" s="28"/>
    </row>
    <row r="261" ht="15.75" customHeight="1">
      <c r="A261" s="28"/>
    </row>
    <row r="262" ht="15.75" customHeight="1">
      <c r="A262" s="28"/>
    </row>
    <row r="263" ht="15.75" customHeight="1">
      <c r="A263" s="28"/>
    </row>
    <row r="264" ht="15.75" customHeight="1">
      <c r="A264" s="28"/>
    </row>
    <row r="265" ht="15.75" customHeight="1">
      <c r="A265" s="28"/>
    </row>
    <row r="266" ht="15.75" customHeight="1">
      <c r="A266" s="28"/>
    </row>
    <row r="267" ht="15.75" customHeight="1">
      <c r="A267" s="28"/>
    </row>
    <row r="268" ht="15.75" customHeight="1">
      <c r="A268" s="28"/>
    </row>
    <row r="269" ht="15.75" customHeight="1">
      <c r="A269" s="28"/>
    </row>
    <row r="270" ht="15.75" customHeight="1">
      <c r="A270" s="28"/>
    </row>
    <row r="271" ht="15.75" customHeight="1">
      <c r="A271" s="28"/>
    </row>
    <row r="272" ht="15.75" customHeight="1">
      <c r="A272" s="28"/>
    </row>
    <row r="273" ht="15.75" customHeight="1">
      <c r="A273" s="28"/>
    </row>
    <row r="274" ht="15.75" customHeight="1">
      <c r="A274" s="28"/>
    </row>
    <row r="275" ht="15.75" customHeight="1">
      <c r="A275" s="28"/>
    </row>
    <row r="276" ht="15.75" customHeight="1">
      <c r="A276" s="28"/>
    </row>
    <row r="277" ht="15.75" customHeight="1">
      <c r="A277" s="28"/>
    </row>
    <row r="278" ht="15.75" customHeight="1">
      <c r="A278" s="28"/>
    </row>
    <row r="279" ht="15.75" customHeight="1">
      <c r="A279" s="28"/>
    </row>
    <row r="280" ht="15.75" customHeight="1">
      <c r="A280" s="28"/>
    </row>
    <row r="281" ht="15.75" customHeight="1">
      <c r="A281" s="28"/>
    </row>
    <row r="282" ht="15.75" customHeight="1">
      <c r="A282" s="28"/>
    </row>
    <row r="283" ht="15.75" customHeight="1">
      <c r="A283" s="28"/>
    </row>
    <row r="284" ht="15.75" customHeight="1">
      <c r="A284" s="28"/>
    </row>
    <row r="285" ht="15.75" customHeight="1">
      <c r="A285" s="28"/>
    </row>
    <row r="286" ht="15.75" customHeight="1">
      <c r="A286" s="28"/>
    </row>
    <row r="287" ht="15.75" customHeight="1">
      <c r="A287" s="28"/>
    </row>
    <row r="288" ht="15.75" customHeight="1">
      <c r="A288" s="28"/>
    </row>
    <row r="289" ht="15.75" customHeight="1">
      <c r="A289" s="28"/>
    </row>
    <row r="290" ht="15.75" customHeight="1">
      <c r="A290" s="28"/>
    </row>
    <row r="291" ht="15.75" customHeight="1">
      <c r="A291" s="28"/>
    </row>
    <row r="292" ht="15.75" customHeight="1">
      <c r="A292" s="28"/>
    </row>
    <row r="293" ht="15.75" customHeight="1">
      <c r="A293" s="28"/>
    </row>
    <row r="294" ht="15.75" customHeight="1">
      <c r="A294" s="28"/>
    </row>
    <row r="295" ht="15.75" customHeight="1">
      <c r="A295" s="28"/>
    </row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49"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62:E62"/>
    <mergeCell ref="D63:E63"/>
    <mergeCell ref="D64:E64"/>
    <mergeCell ref="D65:E65"/>
    <mergeCell ref="D66:E66"/>
    <mergeCell ref="D67:E67"/>
    <mergeCell ref="D68:E68"/>
    <mergeCell ref="D55:E55"/>
    <mergeCell ref="D56:E56"/>
    <mergeCell ref="D57:E57"/>
    <mergeCell ref="D58:E58"/>
    <mergeCell ref="D59:E59"/>
    <mergeCell ref="D60:E60"/>
    <mergeCell ref="D61:E61"/>
  </mergeCells>
  <dataValidations>
    <dataValidation type="decimal" allowBlank="1" showDropDown="1" sqref="D67">
      <formula1>1.0</formula1>
      <formula2>10.0</formula2>
    </dataValidation>
    <dataValidation type="decimal" allowBlank="1" showDropDown="1" showErrorMessage="1" sqref="C2">
      <formula1>2000.0</formula1>
      <formula2>2100.0</formula2>
    </dataValidation>
    <dataValidation type="list" allowBlank="1" showErrorMessage="1" sqref="C3">
      <formula1>"H1,FY"</formula1>
    </dataValidation>
    <dataValidation type="list" allowBlank="1" sqref="D29">
      <formula1>"No Adjustment,Average Effective Tax Rate,Direct Input"</formula1>
    </dataValidation>
    <dataValidation type="list" allowBlank="1" sqref="D41">
      <formula1>"No Adjustment,Average WC/Sales,Direct Input"</formula1>
    </dataValidation>
    <dataValidation type="list" allowBlank="1" sqref="D21">
      <formula1>"No Adjustment,Average pre-tax ROC,Direct Input"</formula1>
    </dataValidation>
    <dataValidation type="list" allowBlank="1" sqref="D52">
      <formula1>"Yes,No"</formula1>
    </dataValidation>
    <dataValidation type="list" allowBlank="1" sqref="D66">
      <formula1>"Yes,No"</formula1>
    </dataValidation>
    <dataValidation type="list" allowBlank="1" sqref="D58">
      <formula1>"BV of the MI,P/E Approach,P/B Approach"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6.88"/>
    <col customWidth="1" min="2" max="6" width="12.63"/>
  </cols>
  <sheetData>
    <row r="1" ht="15.75" customHeight="1">
      <c r="A1" s="87" t="s">
        <v>235</v>
      </c>
    </row>
    <row r="2" ht="15.75" customHeight="1">
      <c r="A2" s="115" t="s">
        <v>236</v>
      </c>
      <c r="B2" s="162" t="s">
        <v>40</v>
      </c>
    </row>
    <row r="3" ht="15.75" customHeight="1">
      <c r="A3" s="163" t="s">
        <v>237</v>
      </c>
      <c r="D3" s="163" t="s">
        <v>238</v>
      </c>
      <c r="H3" s="163" t="s">
        <v>239</v>
      </c>
    </row>
    <row r="4" ht="15.75" customHeight="1">
      <c r="A4" s="65" t="s">
        <v>240</v>
      </c>
      <c r="B4" s="100">
        <f>IF(Data!D41="No Adjustment",Data!D43,if(Data!D41="Direct Input",Data!D45,Data!D44))</f>
        <v>0.3746957532</v>
      </c>
      <c r="D4" s="65" t="s">
        <v>25</v>
      </c>
      <c r="F4" s="100">
        <f>Dashboard!G36</f>
        <v>0.03</v>
      </c>
      <c r="H4" s="65" t="s">
        <v>24</v>
      </c>
      <c r="J4" s="164">
        <f>IF(B2="Base Case",Dashboard!E34,IF(B2="Bear Case",Dashboard!D34,Dashboard!F34))</f>
        <v>4</v>
      </c>
    </row>
    <row r="5" ht="15.75" customHeight="1">
      <c r="A5" s="65" t="s">
        <v>241</v>
      </c>
      <c r="B5" s="165">
        <f>Dashboard!H11</f>
        <v>0.075</v>
      </c>
      <c r="D5" s="65" t="s">
        <v>241</v>
      </c>
      <c r="F5" s="165">
        <f>Dashboard!H12</f>
        <v>0.0975</v>
      </c>
      <c r="H5" s="116" t="s">
        <v>242</v>
      </c>
      <c r="J5" s="166">
        <f>_xlfn.FLOOR.MATH((J4/2))</f>
        <v>2</v>
      </c>
    </row>
    <row r="6" ht="15.75" customHeight="1"/>
    <row r="7" ht="15.75" customHeight="1">
      <c r="A7" s="115" t="s">
        <v>243</v>
      </c>
      <c r="B7" s="65" t="s">
        <v>244</v>
      </c>
    </row>
    <row r="8" ht="15.75" customHeight="1">
      <c r="A8" s="167" t="str">
        <f>"(Numbers in "&amp;Data!F2&amp;Dashboard!C11&amp;")"</f>
        <v>(Numbers in 1000000CNY)</v>
      </c>
      <c r="B8" s="168" t="str">
        <f>Data!B6</f>
        <v>FY 2021</v>
      </c>
      <c r="C8" s="168">
        <v>1.0</v>
      </c>
      <c r="D8" s="168">
        <v>2.0</v>
      </c>
      <c r="E8" s="168">
        <v>3.0</v>
      </c>
      <c r="F8" s="168">
        <v>4.0</v>
      </c>
      <c r="G8" s="168">
        <v>5.0</v>
      </c>
      <c r="H8" s="168">
        <v>6.0</v>
      </c>
      <c r="I8" s="168">
        <v>7.0</v>
      </c>
      <c r="J8" s="168">
        <v>8.0</v>
      </c>
      <c r="K8" s="168">
        <v>9.0</v>
      </c>
      <c r="L8" s="168">
        <v>10.0</v>
      </c>
      <c r="M8" s="168" t="s">
        <v>245</v>
      </c>
    </row>
    <row r="9" ht="15.75" customHeight="1">
      <c r="A9" s="169" t="s">
        <v>161</v>
      </c>
      <c r="B9" s="170">
        <f>IF(Data!D66="No",Data!C87,Data!D87)</f>
        <v>7403.532</v>
      </c>
      <c r="C9" s="170">
        <f>IF('Bear Model'!ModelYear&gt;'Bear Model'!EXP_CAP,"",B9+B23)</f>
        <v>8439.95</v>
      </c>
      <c r="D9" s="170">
        <f>IF('Bear Model'!ModelYear&gt;'Bear Model'!EXP_CAP,"",C9+C23)</f>
        <v>9064.205279</v>
      </c>
      <c r="E9" s="170">
        <f>IF('Bear Model'!ModelYear&gt;'Bear Model'!EXP_CAP,"",D9+D23)</f>
        <v>10212.75492</v>
      </c>
      <c r="F9" s="170">
        <f>IF('Bear Model'!ModelYear&gt;'Bear Model'!EXP_CAP,"",E9+E23)</f>
        <v>11392.41071</v>
      </c>
      <c r="G9" s="170" t="str">
        <f>IF('Bear Model'!ModelYear&gt;'Bear Model'!EXP_CAP,"",F9+F23)</f>
        <v/>
      </c>
      <c r="H9" s="170" t="str">
        <f>IF('Bear Model'!ModelYear&gt;'Bear Model'!EXP_CAP,"",G9+G23)</f>
        <v/>
      </c>
      <c r="I9" s="170" t="str">
        <f>IF('Bear Model'!ModelYear&gt;'Bear Model'!EXP_CAP,"",H9+H23)</f>
        <v/>
      </c>
      <c r="J9" s="170" t="str">
        <f>IF('Bear Model'!ModelYear&gt;'Bear Model'!EXP_CAP,"",I9+I23)</f>
        <v/>
      </c>
      <c r="K9" s="170" t="str">
        <f>IF('Bear Model'!ModelYear&gt;'Bear Model'!EXP_CAP,"",J9+J23)</f>
        <v/>
      </c>
      <c r="L9" s="170" t="str">
        <f>IF('Bear Model'!ModelYear&gt;'Bear Model'!EXP_CAP,"",K9+K23)</f>
        <v/>
      </c>
      <c r="M9" s="56"/>
    </row>
    <row r="10" ht="15.75" customHeight="1">
      <c r="A10" s="169" t="s">
        <v>246</v>
      </c>
      <c r="B10" s="56"/>
      <c r="C10" s="171">
        <f>IF('Bear Model'!ModelYear&gt;'Bear Model'!EXP_CAP,"",C11/B11-1)</f>
        <v>0.005946483661</v>
      </c>
      <c r="D10" s="171">
        <f>IF('Bear Model'!ModelYear&gt;'Bear Model'!EXP_CAP,"",D11/C11-1)</f>
        <v>0.173394857</v>
      </c>
      <c r="E10" s="171">
        <f>IF('Bear Model'!ModelYear&gt;'Bear Model'!EXP_CAP,"",E11/D11-1)</f>
        <v>0.1684455653</v>
      </c>
      <c r="F10" s="171">
        <f>IF('Bear Model'!ModelYear&gt;'Bear Model'!EXP_CAP,"",F11/E11-1)</f>
        <v>0.133820714</v>
      </c>
      <c r="G10" s="171" t="str">
        <f>IF('Bear Model'!ModelYear&gt;'Bear Model'!EXP_CAP,"",G11/F11-1)</f>
        <v/>
      </c>
      <c r="H10" s="171" t="str">
        <f>IF('Bear Model'!ModelYear&gt;'Bear Model'!EXP_CAP,"",H11/G11-1)</f>
        <v/>
      </c>
      <c r="I10" s="171" t="str">
        <f>IF('Bear Model'!ModelYear&gt;'Bear Model'!EXP_CAP,"",I11/H11-1)</f>
        <v/>
      </c>
      <c r="J10" s="171" t="str">
        <f>IF('Bear Model'!ModelYear&gt;'Bear Model'!EXP_CAP,"",J11/I11-1)</f>
        <v/>
      </c>
      <c r="K10" s="171" t="str">
        <f>IF('Bear Model'!ModelYear&gt;'Bear Model'!EXP_CAP,"",K11/J11-1)</f>
        <v/>
      </c>
      <c r="L10" s="171" t="str">
        <f>IF('Bear Model'!ModelYear&gt;'Bear Model'!EXP_CAP,"",L11/K11-1)</f>
        <v/>
      </c>
      <c r="M10" s="171">
        <f>M11/INDIRECT(ADDRESS(ROW(A11),'Bear Model'!EXP_CAP+2))-1</f>
        <v>0.03</v>
      </c>
    </row>
    <row r="11" ht="15.75" customHeight="1">
      <c r="A11" s="65" t="s">
        <v>247</v>
      </c>
      <c r="B11" s="172">
        <f>Data!C6</f>
        <v>9309.22</v>
      </c>
      <c r="C11" s="172">
        <f>IF('Bear Model'!ModelYear&gt;'Bear Model'!EXP_CAP,"",C16/C12)</f>
        <v>9364.577125</v>
      </c>
      <c r="D11" s="172">
        <f>IF('Bear Model'!ModelYear&gt;'Bear Model'!EXP_CAP,"",D16/D12)</f>
        <v>10988.34664</v>
      </c>
      <c r="E11" s="172">
        <f>IF('Bear Model'!ModelYear&gt;'Bear Model'!EXP_CAP,"",E16/E12)</f>
        <v>12839.2849</v>
      </c>
      <c r="F11" s="172">
        <f>IF('Bear Model'!ModelYear&gt;'Bear Model'!EXP_CAP,"",F16/F12)</f>
        <v>14557.44717</v>
      </c>
      <c r="G11" s="172" t="str">
        <f>IF('Bear Model'!ModelYear&gt;'Bear Model'!EXP_CAP,"",G16/G12)</f>
        <v/>
      </c>
      <c r="H11" s="172" t="str">
        <f>IF('Bear Model'!ModelYear&gt;'Bear Model'!EXP_CAP,"",H16/H12)</f>
        <v/>
      </c>
      <c r="I11" s="172" t="str">
        <f>IF('Bear Model'!ModelYear&gt;'Bear Model'!EXP_CAP,"",I16/I12)</f>
        <v/>
      </c>
      <c r="J11" s="172" t="str">
        <f>IF('Bear Model'!ModelYear&gt;'Bear Model'!EXP_CAP,"",J16/J12)</f>
        <v/>
      </c>
      <c r="K11" s="172" t="str">
        <f>IF('Bear Model'!ModelYear&gt;'Bear Model'!EXP_CAP,"",K16/K12)</f>
        <v/>
      </c>
      <c r="L11" s="172" t="str">
        <f>IF('Bear Model'!ModelYear&gt;'Bear Model'!EXP_CAP,"",L16/L12)</f>
        <v/>
      </c>
      <c r="M11" s="172">
        <f>M16/M12</f>
        <v>14994.17058</v>
      </c>
    </row>
    <row r="12" ht="15.75" customHeight="1">
      <c r="A12" s="173" t="s">
        <v>248</v>
      </c>
      <c r="B12" s="171">
        <f>B16/B11</f>
        <v>0.3771656487</v>
      </c>
      <c r="C12" s="174">
        <f>average(Data!F6:F8)</f>
        <v>0.3158735911</v>
      </c>
      <c r="D12" s="175">
        <f t="shared" ref="D12:F12" si="1">C12</f>
        <v>0.3158735911</v>
      </c>
      <c r="E12" s="175">
        <f t="shared" si="1"/>
        <v>0.3158735911</v>
      </c>
      <c r="F12" s="175">
        <f t="shared" si="1"/>
        <v>0.3158735911</v>
      </c>
      <c r="G12" s="175"/>
      <c r="H12" s="175"/>
      <c r="I12" s="175"/>
      <c r="J12" s="175"/>
      <c r="K12" s="175"/>
      <c r="L12" s="175"/>
      <c r="M12" s="175">
        <f>D12</f>
        <v>0.3158735911</v>
      </c>
    </row>
    <row r="13" ht="15.75" customHeight="1">
      <c r="A13" s="169" t="s">
        <v>249</v>
      </c>
      <c r="B13" s="176"/>
      <c r="C13" s="177">
        <v>0.335</v>
      </c>
      <c r="D13" s="177">
        <v>0.33</v>
      </c>
      <c r="E13" s="177">
        <v>0.33</v>
      </c>
      <c r="F13" s="177">
        <v>0.325</v>
      </c>
      <c r="G13" s="178"/>
      <c r="H13" s="178"/>
      <c r="I13" s="178"/>
      <c r="J13" s="178"/>
      <c r="K13" s="178"/>
      <c r="L13" s="178"/>
      <c r="M13" s="119"/>
    </row>
    <row r="14" ht="15.75" customHeight="1">
      <c r="A14" s="169" t="s">
        <v>250</v>
      </c>
      <c r="B14" s="173"/>
      <c r="C14" s="177">
        <v>0.335</v>
      </c>
      <c r="D14" s="177">
        <v>0.33</v>
      </c>
      <c r="E14" s="177">
        <v>0.33</v>
      </c>
      <c r="F14" s="177">
        <v>0.325</v>
      </c>
      <c r="G14" s="178" t="str">
        <f>G13</f>
        <v/>
      </c>
      <c r="H14" s="178"/>
      <c r="I14" s="178"/>
      <c r="J14" s="178"/>
      <c r="K14" s="178"/>
      <c r="L14" s="178"/>
      <c r="M14" s="119"/>
    </row>
    <row r="15" ht="15.75" customHeight="1">
      <c r="A15" s="179" t="s">
        <v>251</v>
      </c>
      <c r="B15" s="180"/>
      <c r="C15" s="181">
        <f>IF('Bear Model'!ModelYear&gt;'Bear Model'!EXP_CAP,"",C13*B24+(C14-B19)/C14)</f>
        <v>-0.1575268602</v>
      </c>
      <c r="D15" s="181">
        <f>IF('Bear Model'!ModelYear&gt;'Bear Model'!EXP_CAP,"",D13*C24+(D14-C19)/D14)</f>
        <v>0.173394857</v>
      </c>
      <c r="E15" s="181">
        <f>IF('Bear Model'!ModelYear&gt;'Bear Model'!EXP_CAP,"",E13*D24+(E14-D19)/E14)</f>
        <v>0.1684455653</v>
      </c>
      <c r="F15" s="181">
        <f>IF('Bear Model'!ModelYear&gt;'Bear Model'!EXP_CAP,"",F13*E24+(F14-E19)/F14)</f>
        <v>0.133820714</v>
      </c>
      <c r="G15" s="181" t="str">
        <f>IF('Bear Model'!ModelYear&gt;'Bear Model'!EXP_CAP,"",G13*F24+(G14-F19)/G14)</f>
        <v/>
      </c>
      <c r="H15" s="181" t="str">
        <f>IF('Bear Model'!ModelYear&gt;'Bear Model'!EXP_CAP,"",H13*G24+(H14-G19)/H14)</f>
        <v/>
      </c>
      <c r="I15" s="181" t="str">
        <f>IF('Bear Model'!ModelYear&gt;'Bear Model'!EXP_CAP,"",I13*H24+(I14-H19)/I14)</f>
        <v/>
      </c>
      <c r="J15" s="181" t="str">
        <f>IF('Bear Model'!ModelYear&gt;'Bear Model'!EXP_CAP,"",J13*I24+(J14-I19)/J14)</f>
        <v/>
      </c>
      <c r="K15" s="181" t="str">
        <f>IF('Bear Model'!ModelYear&gt;'Bear Model'!EXP_CAP,"",K13*J24+(K14-J19)/K14)</f>
        <v/>
      </c>
      <c r="L15" s="181" t="str">
        <f>IF('Bear Model'!ModelYear&gt;'Bear Model'!EXP_CAP,"",L13*K24+(L14-K19)/L14)</f>
        <v/>
      </c>
      <c r="M15" s="181">
        <f>'Bear Model'!Terminal_EbitGrowth</f>
        <v>0.03</v>
      </c>
    </row>
    <row r="16" ht="15.75" customHeight="1">
      <c r="A16" s="65" t="s">
        <v>252</v>
      </c>
      <c r="B16" s="172">
        <f>IF(Data!D66="No",Data!C83,Data!D83)</f>
        <v>3511.118</v>
      </c>
      <c r="C16" s="172">
        <f>IF('Bear Model'!ModelYear&gt;'Bear Model'!EXP_CAP,"",B16*(1+'Bear Model'!Model_EbitGrowth))</f>
        <v>2958.022606</v>
      </c>
      <c r="D16" s="172">
        <f>IF('Bear Model'!ModelYear&gt;'Bear Model'!EXP_CAP,"",C16*(1+'Bear Model'!Model_EbitGrowth))</f>
        <v>3470.928512</v>
      </c>
      <c r="E16" s="172">
        <f>IF('Bear Model'!ModelYear&gt;'Bear Model'!EXP_CAP,"",D16*(1+'Bear Model'!Model_EbitGrowth))</f>
        <v>4055.591028</v>
      </c>
      <c r="F16" s="172">
        <f>IF('Bear Model'!ModelYear&gt;'Bear Model'!EXP_CAP,"",E16*(1+'Bear Model'!Model_EbitGrowth))</f>
        <v>4598.313115</v>
      </c>
      <c r="G16" s="172" t="str">
        <f>IF('Bear Model'!ModelYear&gt;'Bear Model'!EXP_CAP,"",F16*(1+'Bear Model'!Model_EbitGrowth))</f>
        <v/>
      </c>
      <c r="H16" s="172" t="str">
        <f>IF('Bear Model'!ModelYear&gt;'Bear Model'!EXP_CAP,"",G16*(1+'Bear Model'!Model_EbitGrowth))</f>
        <v/>
      </c>
      <c r="I16" s="172" t="str">
        <f>IF('Bear Model'!ModelYear&gt;'Bear Model'!EXP_CAP,"",H16*(1+'Bear Model'!Model_EbitGrowth))</f>
        <v/>
      </c>
      <c r="J16" s="172" t="str">
        <f>IF('Bear Model'!ModelYear&gt;'Bear Model'!EXP_CAP,"",I16*(1+'Bear Model'!Model_EbitGrowth))</f>
        <v/>
      </c>
      <c r="K16" s="172" t="str">
        <f>IF('Bear Model'!ModelYear&gt;'Bear Model'!EXP_CAP,"",J16*(1+'Bear Model'!Model_EbitGrowth))</f>
        <v/>
      </c>
      <c r="L16" s="172" t="str">
        <f>IF('Bear Model'!ModelYear&gt;'Bear Model'!EXP_CAP,"",K16*(1+'Bear Model'!Model_EbitGrowth))</f>
        <v/>
      </c>
      <c r="M16" s="172">
        <f>INDIRECT(ADDRESS(ROW(A16),'Bear Model'!EXP_CAP+2))*(1+'Bear Model'!Terminal_EbitGrowth)</f>
        <v>4736.262508</v>
      </c>
    </row>
    <row r="17" ht="15.75" customHeight="1">
      <c r="A17" s="169" t="s">
        <v>253</v>
      </c>
      <c r="B17" s="171">
        <f>Data!F29</f>
        <v>0.120348854</v>
      </c>
      <c r="C17" s="174">
        <v>0.145</v>
      </c>
      <c r="D17" s="174">
        <v>0.17</v>
      </c>
      <c r="E17" s="174">
        <v>0.195</v>
      </c>
      <c r="F17" s="174">
        <v>0.225</v>
      </c>
      <c r="G17" s="175"/>
      <c r="H17" s="175"/>
      <c r="I17" s="175"/>
      <c r="J17" s="175"/>
      <c r="K17" s="175"/>
      <c r="L17" s="175"/>
      <c r="M17" s="171">
        <f>Data!D28</f>
        <v>0.25</v>
      </c>
    </row>
    <row r="18" ht="15.75" customHeight="1">
      <c r="A18" s="182" t="s">
        <v>147</v>
      </c>
      <c r="B18" s="183">
        <f>IF(Data!D66="No",Data!C85,Data!D85)</f>
        <v>3144.709897</v>
      </c>
      <c r="C18" s="183">
        <f>IF('Bear Model'!ModelYear&gt;'Bear Model'!EXP_CAP,"",C16*(1-C17))</f>
        <v>2529.109328</v>
      </c>
      <c r="D18" s="183">
        <f>IF('Bear Model'!ModelYear&gt;'Bear Model'!EXP_CAP,"",D16*(1-D17))</f>
        <v>2880.870665</v>
      </c>
      <c r="E18" s="183">
        <f>IF('Bear Model'!ModelYear&gt;'Bear Model'!EXP_CAP,"",E16*(1-E17))</f>
        <v>3264.750777</v>
      </c>
      <c r="F18" s="183">
        <f>IF('Bear Model'!ModelYear&gt;'Bear Model'!EXP_CAP,"",F16*(1-F17))</f>
        <v>3563.692664</v>
      </c>
      <c r="G18" s="183" t="str">
        <f>IF('Bear Model'!ModelYear&gt;'Bear Model'!EXP_CAP,"",G16*(1-G17))</f>
        <v/>
      </c>
      <c r="H18" s="183" t="str">
        <f>IF('Bear Model'!ModelYear&gt;'Bear Model'!EXP_CAP,"",H16*(1-H17))</f>
        <v/>
      </c>
      <c r="I18" s="183" t="str">
        <f>IF('Bear Model'!ModelYear&gt;'Bear Model'!EXP_CAP,"",I16*(1-I17))</f>
        <v/>
      </c>
      <c r="J18" s="183" t="str">
        <f>IF('Bear Model'!ModelYear&gt;'Bear Model'!EXP_CAP,"",J16*(1-J17))</f>
        <v/>
      </c>
      <c r="K18" s="183" t="str">
        <f>IF('Bear Model'!ModelYear&gt;'Bear Model'!EXP_CAP,"",K16*(1-K17))</f>
        <v/>
      </c>
      <c r="L18" s="183" t="str">
        <f>IF('Bear Model'!ModelYear&gt;'Bear Model'!EXP_CAP,"",L16*(1-L17))</f>
        <v/>
      </c>
      <c r="M18" s="183">
        <f>M16*(1-M17)</f>
        <v>3552.196881</v>
      </c>
    </row>
    <row r="19" ht="15.75" customHeight="1">
      <c r="A19" s="173" t="s">
        <v>254</v>
      </c>
      <c r="B19" s="171">
        <f>B18/B9</f>
        <v>0.424758061</v>
      </c>
      <c r="C19" s="171">
        <f>IF('Bear Model'!ModelYear&gt;'Bear Model'!EXP_CAP,"",C18/C9)</f>
        <v>0.2996592785</v>
      </c>
      <c r="D19" s="171">
        <f>IF('Bear Model'!ModelYear&gt;'Bear Model'!EXP_CAP,"",D18/D9)</f>
        <v>0.3178293713</v>
      </c>
      <c r="E19" s="171">
        <f>IF('Bear Model'!ModelYear&gt;'Bear Model'!EXP_CAP,"",E18/E9)</f>
        <v>0.3196738591</v>
      </c>
      <c r="F19" s="171">
        <f>IF('Bear Model'!ModelYear&gt;'Bear Model'!EXP_CAP,"",F18/F9)</f>
        <v>0.3128128675</v>
      </c>
      <c r="G19" s="171" t="str">
        <f>IF('Bear Model'!ModelYear&gt;'Bear Model'!EXP_CAP,"",G18/G9)</f>
        <v/>
      </c>
      <c r="H19" s="171" t="str">
        <f>IF('Bear Model'!ModelYear&gt;'Bear Model'!EXP_CAP,"",H18/H9)</f>
        <v/>
      </c>
      <c r="I19" s="171" t="str">
        <f>IF('Bear Model'!ModelYear&gt;'Bear Model'!EXP_CAP,"",I18/I9)</f>
        <v/>
      </c>
      <c r="J19" s="171" t="str">
        <f>IF('Bear Model'!ModelYear&gt;'Bear Model'!EXP_CAP,"",J18/J9)</f>
        <v/>
      </c>
      <c r="K19" s="171" t="str">
        <f>IF('Bear Model'!ModelYear&gt;'Bear Model'!EXP_CAP,"",K18/K9)</f>
        <v/>
      </c>
      <c r="L19" s="171" t="str">
        <f>IF('Bear Model'!ModelYear&gt;'Bear Model'!EXP_CAP,"",L18/L9)</f>
        <v/>
      </c>
      <c r="M19" s="171">
        <f>Dashboard!G37</f>
        <v>0.0975</v>
      </c>
    </row>
    <row r="20" ht="15.75" customHeight="1">
      <c r="A20" s="116" t="s">
        <v>234</v>
      </c>
      <c r="B20" s="184">
        <f>IF(Data!D66="No",Data!C92,Data!D92)</f>
        <v>568.558</v>
      </c>
      <c r="C20" s="185">
        <f>B20</f>
        <v>568.558</v>
      </c>
      <c r="D20" s="185">
        <f>C20*0.95</f>
        <v>540.1301</v>
      </c>
      <c r="E20" s="185">
        <f>D20*0.9</f>
        <v>486.11709</v>
      </c>
      <c r="F20" s="186"/>
      <c r="G20" s="186"/>
      <c r="H20" s="186"/>
      <c r="I20" s="186"/>
      <c r="J20" s="186"/>
      <c r="K20" s="186"/>
      <c r="L20" s="187" t="str">
        <f>IF('Bear Model'!ModelYear&gt;='Bear Model'!EXP_CAP,"",L11*#REF!)</f>
        <v/>
      </c>
      <c r="M20" s="187"/>
    </row>
    <row r="21" ht="15.75" customHeight="1">
      <c r="A21" s="169" t="s">
        <v>168</v>
      </c>
      <c r="B21" s="188">
        <f>Data!AC6</f>
        <v>3453.17</v>
      </c>
      <c r="C21" s="189">
        <f>IF('Bear Model'!ModelYear&gt;='Bear Model'!EXP_CAP,"",C11*$B$4)</f>
        <v>3508.867279</v>
      </c>
      <c r="D21" s="189">
        <f>IF('Bear Model'!ModelYear&gt;='Bear Model'!EXP_CAP,"",D11*$B$4)</f>
        <v>4117.286819</v>
      </c>
      <c r="E21" s="189">
        <f>IF('Bear Model'!ModelYear&gt;='Bear Model'!EXP_CAP,"",E11*$B$4)</f>
        <v>4810.825525</v>
      </c>
      <c r="F21" s="189" t="str">
        <f>IF('Bear Model'!ModelYear&gt;='Bear Model'!EXP_CAP,"",F11*$B$4)</f>
        <v/>
      </c>
      <c r="G21" s="189" t="str">
        <f>IF('Bear Model'!ModelYear&gt;='Bear Model'!EXP_CAP,"",G11*$B$4)</f>
        <v/>
      </c>
      <c r="H21" s="189" t="str">
        <f>IF('Bear Model'!ModelYear&gt;='Bear Model'!EXP_CAP,"",H11*$B$4)</f>
        <v/>
      </c>
      <c r="I21" s="189" t="str">
        <f>IF('Bear Model'!ModelYear&gt;='Bear Model'!EXP_CAP,"",I11*$B$4)</f>
        <v/>
      </c>
      <c r="J21" s="189" t="str">
        <f>IF('Bear Model'!ModelYear&gt;='Bear Model'!EXP_CAP,"",J11*$B$4)</f>
        <v/>
      </c>
      <c r="K21" s="189" t="str">
        <f>IF('Bear Model'!ModelYear&gt;='Bear Model'!EXP_CAP,"",K11*$B$4)</f>
        <v/>
      </c>
      <c r="L21" s="190" t="str">
        <f>IF('Bear Model'!ModelYear&gt;='Bear Model'!EXP_CAP,"",L11*$B$4)</f>
        <v/>
      </c>
      <c r="M21" s="191"/>
    </row>
    <row r="22" ht="15.75" customHeight="1">
      <c r="A22" s="192" t="s">
        <v>169</v>
      </c>
      <c r="B22" s="193">
        <f>Data!AD6</f>
        <v>467.86</v>
      </c>
      <c r="C22" s="194">
        <f>IF('Bear Model'!ModelYear&gt;='Bear Model'!EXP_CAP,"",C21-B21)</f>
        <v>55.69727906</v>
      </c>
      <c r="D22" s="194">
        <f>IF('Bear Model'!ModelYear&gt;='Bear Model'!EXP_CAP,"",D21-C21)</f>
        <v>608.41954</v>
      </c>
      <c r="E22" s="194">
        <f>IF('Bear Model'!ModelYear&gt;='Bear Model'!EXP_CAP,"",E21-D21)</f>
        <v>693.5387058</v>
      </c>
      <c r="F22" s="194" t="str">
        <f>IF('Bear Model'!ModelYear&gt;='Bear Model'!EXP_CAP,"",F21-E21)</f>
        <v/>
      </c>
      <c r="G22" s="194" t="str">
        <f>IF('Bear Model'!ModelYear&gt;='Bear Model'!EXP_CAP,"",G21-F21)</f>
        <v/>
      </c>
      <c r="H22" s="194" t="str">
        <f>IF('Bear Model'!ModelYear&gt;='Bear Model'!EXP_CAP,"",H21-G21)</f>
        <v/>
      </c>
      <c r="I22" s="194" t="str">
        <f>IF('Bear Model'!ModelYear&gt;='Bear Model'!EXP_CAP,"",I21-H21)</f>
        <v/>
      </c>
      <c r="J22" s="194" t="str">
        <f>IF('Bear Model'!ModelYear&gt;='Bear Model'!EXP_CAP,"",J21-I21)</f>
        <v/>
      </c>
      <c r="K22" s="194" t="str">
        <f>IF('Bear Model'!ModelYear&gt;='Bear Model'!EXP_CAP,"",K21-J21)</f>
        <v/>
      </c>
      <c r="L22" s="195" t="str">
        <f>IF('Bear Model'!ModelYear&gt;='Bear Model'!EXP_CAP,"",L21-K21)</f>
        <v/>
      </c>
      <c r="M22" s="195"/>
    </row>
    <row r="23" ht="15.75" customHeight="1">
      <c r="A23" s="196" t="s">
        <v>171</v>
      </c>
      <c r="B23" s="184">
        <f>B20+B22</f>
        <v>1036.418</v>
      </c>
      <c r="C23" s="172">
        <f t="shared" ref="C23:K23" si="2">IF(C22="","",C20+C22)</f>
        <v>624.2552791</v>
      </c>
      <c r="D23" s="172">
        <f t="shared" si="2"/>
        <v>1148.54964</v>
      </c>
      <c r="E23" s="172">
        <f t="shared" si="2"/>
        <v>1179.655796</v>
      </c>
      <c r="F23" s="172" t="str">
        <f t="shared" si="2"/>
        <v/>
      </c>
      <c r="G23" s="172" t="str">
        <f t="shared" si="2"/>
        <v/>
      </c>
      <c r="H23" s="172" t="str">
        <f t="shared" si="2"/>
        <v/>
      </c>
      <c r="I23" s="172" t="str">
        <f t="shared" si="2"/>
        <v/>
      </c>
      <c r="J23" s="172" t="str">
        <f t="shared" si="2"/>
        <v/>
      </c>
      <c r="K23" s="172" t="str">
        <f t="shared" si="2"/>
        <v/>
      </c>
      <c r="L23" s="187"/>
      <c r="M23" s="187"/>
    </row>
    <row r="24" ht="15.75" customHeight="1">
      <c r="A24" s="197" t="s">
        <v>255</v>
      </c>
      <c r="B24" s="171">
        <f>B23/B18</f>
        <v>0.329575075</v>
      </c>
      <c r="C24" s="198">
        <f>IF('Bear Model'!ModelYear&gt;'Bear Model'!EXP_CAP,"",IF(C22="",$M$15/C19,C23/C18))</f>
        <v>0.2468281115</v>
      </c>
      <c r="D24" s="198">
        <f>IF('Bear Model'!ModelYear&gt;'Bear Model'!EXP_CAP,"",IF(D22="",$M$15/D19,D23/D18))</f>
        <v>0.3986814312</v>
      </c>
      <c r="E24" s="198">
        <f>IF('Bear Model'!ModelYear&gt;'Bear Model'!EXP_CAP,"",IF(E22="",$M$15/E19,E23/E18))</f>
        <v>0.3613310406</v>
      </c>
      <c r="F24" s="198">
        <f>IF('Bear Model'!ModelYear&gt;'Bear Model'!EXP_CAP,"",IF(F22="",$M$15/F19,F23/F18))</f>
        <v>0.09590398322</v>
      </c>
      <c r="G24" s="198" t="str">
        <f>IF('Bear Model'!ModelYear&gt;'Bear Model'!EXP_CAP,"",IF(G22="",$M$15/G19,G23/G18))</f>
        <v/>
      </c>
      <c r="H24" s="198" t="str">
        <f>IF('Bear Model'!ModelYear&gt;'Bear Model'!EXP_CAP,"",IF(H22="",$M$15/H19,H23/H18))</f>
        <v/>
      </c>
      <c r="I24" s="198" t="str">
        <f>IF('Bear Model'!ModelYear&gt;'Bear Model'!EXP_CAP,"",IF(I22="",$M$15/I19,I23/I18))</f>
        <v/>
      </c>
      <c r="J24" s="198" t="str">
        <f>IF('Bear Model'!ModelYear&gt;'Bear Model'!EXP_CAP,"",IF(J22="",$M$15/J19,J23/J18))</f>
        <v/>
      </c>
      <c r="K24" s="198" t="str">
        <f>IF('Bear Model'!ModelYear&gt;'Bear Model'!EXP_CAP,"",IF(K22="",$M$15/K19,K23/K18))</f>
        <v/>
      </c>
      <c r="L24" s="119"/>
      <c r="M24" s="199">
        <f>M15/M19</f>
        <v>0.3076923077</v>
      </c>
    </row>
    <row r="25" ht="15.75" customHeight="1">
      <c r="A25" s="200" t="s">
        <v>256</v>
      </c>
      <c r="B25" s="201">
        <f>B18-(B20+B22)</f>
        <v>2108.291897</v>
      </c>
      <c r="C25" s="202">
        <f>IF('Bear Model'!ModelYear&gt;'Bear Model'!EXP_CAP,"",IF('Bear Model'!ModelYear='Bear Model'!EXP_CAP,'Bear Model'!Model_NOPAT*(1-C24),'Bear Model'!Model_NOPAT-C23))</f>
        <v>1904.854049</v>
      </c>
      <c r="D25" s="202">
        <f>IF('Bear Model'!ModelYear&gt;'Bear Model'!EXP_CAP,"",IF('Bear Model'!ModelYear='Bear Model'!EXP_CAP,'Bear Model'!Model_NOPAT*(1-D24),'Bear Model'!Model_NOPAT-D23))</f>
        <v>1732.321025</v>
      </c>
      <c r="E25" s="202">
        <f>IF('Bear Model'!ModelYear&gt;'Bear Model'!EXP_CAP,"",IF('Bear Model'!ModelYear='Bear Model'!EXP_CAP,'Bear Model'!Model_NOPAT*(1-E24),'Bear Model'!Model_NOPAT-E23))</f>
        <v>2085.094982</v>
      </c>
      <c r="F25" s="202">
        <f>IF('Bear Model'!ModelYear&gt;'Bear Model'!EXP_CAP,"",IF('Bear Model'!ModelYear='Bear Model'!EXP_CAP,'Bear Model'!Model_NOPAT*(1-F24),'Bear Model'!Model_NOPAT-F23))</f>
        <v>3221.920342</v>
      </c>
      <c r="G25" s="202" t="str">
        <f>IF('Bear Model'!ModelYear&gt;'Bear Model'!EXP_CAP,"",IF('Bear Model'!ModelYear='Bear Model'!EXP_CAP,'Bear Model'!Model_NOPAT*(1-G24),'Bear Model'!Model_NOPAT-G23))</f>
        <v/>
      </c>
      <c r="H25" s="202" t="str">
        <f>IF('Bear Model'!ModelYear&gt;'Bear Model'!EXP_CAP,"",IF('Bear Model'!ModelYear='Bear Model'!EXP_CAP,'Bear Model'!Model_NOPAT*(1-H24),'Bear Model'!Model_NOPAT-H23))</f>
        <v/>
      </c>
      <c r="I25" s="202" t="str">
        <f>IF('Bear Model'!ModelYear&gt;'Bear Model'!EXP_CAP,"",IF('Bear Model'!ModelYear='Bear Model'!EXP_CAP,'Bear Model'!Model_NOPAT*(1-I24),'Bear Model'!Model_NOPAT-I23))</f>
        <v/>
      </c>
      <c r="J25" s="202" t="str">
        <f>IF('Bear Model'!ModelYear&gt;'Bear Model'!EXP_CAP,"",IF('Bear Model'!ModelYear='Bear Model'!EXP_CAP,'Bear Model'!Model_NOPAT*(1-J24),'Bear Model'!Model_NOPAT-J23))</f>
        <v/>
      </c>
      <c r="K25" s="202" t="str">
        <f>IF('Bear Model'!ModelYear&gt;'Bear Model'!EXP_CAP,"",IF('Bear Model'!ModelYear='Bear Model'!EXP_CAP,'Bear Model'!Model_NOPAT*(1-K24),'Bear Model'!Model_NOPAT-K23))</f>
        <v/>
      </c>
      <c r="L25" s="202" t="str">
        <f>IF('Bear Model'!ModelYear&gt;'Bear Model'!EXP_CAP,"",IF('Bear Model'!ModelYear='Bear Model'!EXP_CAP,'Bear Model'!Model_NOPAT*(1-L24),'Bear Model'!Model_NOPAT-L23))</f>
        <v/>
      </c>
      <c r="M25" s="203">
        <f>M18*(1-M24)</f>
        <v>2459.213225</v>
      </c>
    </row>
    <row r="26" ht="15.75" customHeight="1">
      <c r="A26" s="169" t="s">
        <v>257</v>
      </c>
      <c r="B26" s="56"/>
      <c r="C26" s="171">
        <f>discount_rate('Bear Model'!EXP_Wacc,'Bear Model'!Terminal_Wacc,C8,'Bear Model'!EXP_CAP,$J5)</f>
        <v>0.075</v>
      </c>
      <c r="D26" s="171">
        <f>discount_rate('Bear Model'!EXP_Wacc,'Bear Model'!Terminal_Wacc,D8,'Bear Model'!EXP_CAP,$J5)</f>
        <v>0.075</v>
      </c>
      <c r="E26" s="171">
        <f>discount_rate('Bear Model'!EXP_Wacc,'Bear Model'!Terminal_Wacc,E8,'Bear Model'!EXP_CAP,$J5)</f>
        <v>0.08625</v>
      </c>
      <c r="F26" s="171">
        <f>discount_rate('Bear Model'!EXP_Wacc,'Bear Model'!Terminal_Wacc,F8,'Bear Model'!EXP_CAP,$J5)</f>
        <v>0.0975</v>
      </c>
      <c r="G26" s="171" t="str">
        <f>discount_rate('Bear Model'!EXP_Wacc,'Bear Model'!Terminal_Wacc,G8,'Bear Model'!EXP_CAP,$J5)</f>
        <v/>
      </c>
      <c r="H26" s="171" t="str">
        <f>discount_rate('Bear Model'!EXP_Wacc,'Bear Model'!Terminal_Wacc,H8,'Bear Model'!EXP_CAP,$J5)</f>
        <v/>
      </c>
      <c r="I26" s="171" t="str">
        <f>discount_rate('Bear Model'!EXP_Wacc,'Bear Model'!Terminal_Wacc,I8,'Bear Model'!EXP_CAP,$J5)</f>
        <v/>
      </c>
      <c r="J26" s="171" t="str">
        <f>discount_rate('Bear Model'!EXP_Wacc,'Bear Model'!Terminal_Wacc,J8,'Bear Model'!EXP_CAP,$J5)</f>
        <v/>
      </c>
      <c r="K26" s="171" t="str">
        <f>discount_rate('Bear Model'!EXP_Wacc,'Bear Model'!Terminal_Wacc,K8,'Bear Model'!EXP_CAP,$J5)</f>
        <v/>
      </c>
      <c r="L26" s="171" t="str">
        <f>discount_rate('Bear Model'!EXP_Wacc,'Bear Model'!Terminal_Wacc,L8,'Bear Model'!EXP_CAP,$J5)</f>
        <v/>
      </c>
      <c r="M26" s="171">
        <f>'Bear Model'!Terminal_Wacc</f>
        <v>0.0975</v>
      </c>
    </row>
    <row r="27" ht="15.75" customHeight="1">
      <c r="A27" s="204" t="s">
        <v>258</v>
      </c>
      <c r="B27" s="205"/>
      <c r="C27" s="199">
        <f>IF('Bear Model'!ModelYear&gt;'Bear Model'!EXP_CAP,"",1+C26)</f>
        <v>1.075</v>
      </c>
      <c r="D27" s="199">
        <f>IF('Bear Model'!ModelYear&gt;'Bear Model'!EXP_CAP,"",(1+C26)*(1+D26))</f>
        <v>1.155625</v>
      </c>
      <c r="E27" s="199">
        <f>IF('Bear Model'!ModelYear&gt;'Bear Model'!EXP_CAP,"",(1+C26)*(1+D26)*(1+E26))</f>
        <v>1.255297656</v>
      </c>
      <c r="F27" s="199">
        <f>IF('Bear Model'!ModelYear&gt;'Bear Model'!EXP_CAP,"",(1+C26)*(1+D26)*(1+E26)*(1+F26))</f>
        <v>1.377689178</v>
      </c>
      <c r="G27" s="199" t="str">
        <f>IF('Bear Model'!ModelYear&gt;'Bear Model'!EXP_CAP,"",(1+C26)*(1+D26)*(1+E26)*(1+F26)*(1+G26))</f>
        <v/>
      </c>
      <c r="H27" s="199" t="str">
        <f>IF('Bear Model'!ModelYear&gt;'Bear Model'!EXP_CAP,"",(1+C26)*(1+D26)*(1+E26)*(1+F26)*(1+G26)*(1+H26))</f>
        <v/>
      </c>
      <c r="I27" s="199" t="str">
        <f>IF('Bear Model'!ModelYear&gt;'Bear Model'!EXP_CAP,"",(1+C26)*(1+D26)*(1+E26)*(1+F26)*(1+G26)*(1+H26)*(1+I26))</f>
        <v/>
      </c>
      <c r="J27" s="199" t="str">
        <f>IF('Bear Model'!ModelYear&gt;'Bear Model'!EXP_CAP,"",(1+C26)*(1+D26)*(1+E26)*(1+F26)*(1+G26)*(1+H26)*(1+I26)*(1+J26))</f>
        <v/>
      </c>
      <c r="K27" s="199" t="str">
        <f>IF('Bear Model'!ModelYear&gt;'Bear Model'!EXP_CAP,"",(1+C26)*(1+D26)*(1+E26)*(1+F26)*(1+G26)*(1+H26)*(1+I26)*(1+J26)*(1+K26))</f>
        <v/>
      </c>
      <c r="L27" s="199" t="str">
        <f>IF('Bear Model'!ModelYear&gt;'Bear Model'!EXP_CAP,"",(1+C26)*(1+D26)*(1+E26)*(1+F26)*(1+G26)*(1+H26)*(1+I26)*(1+J26)*(1+K26)*(1+L26))</f>
        <v/>
      </c>
      <c r="M27" s="95"/>
    </row>
    <row r="28" ht="15.75" customHeight="1">
      <c r="A28" s="206" t="s">
        <v>259</v>
      </c>
      <c r="B28" s="207"/>
      <c r="C28" s="203">
        <f>IF('Bear Model'!ModelYear&gt;'Bear Model'!EXP_CAP,"",'Bear Model'!Model_FCFF/C27)</f>
        <v>1771.957255</v>
      </c>
      <c r="D28" s="203">
        <f>IF('Bear Model'!ModelYear&gt;'Bear Model'!EXP_CAP,"",'Bear Model'!Model_FCFF/D27)</f>
        <v>1499.033878</v>
      </c>
      <c r="E28" s="203">
        <f>IF('Bear Model'!ModelYear&gt;'Bear Model'!EXP_CAP,"",'Bear Model'!Model_FCFF/E27)</f>
        <v>1661.036306</v>
      </c>
      <c r="F28" s="203">
        <f>IF('Bear Model'!ModelYear&gt;'Bear Model'!EXP_CAP,"",'Bear Model'!Model_FCFF/F27)</f>
        <v>2338.640961</v>
      </c>
      <c r="G28" s="203" t="str">
        <f>IF('Bear Model'!ModelYear&gt;'Bear Model'!EXP_CAP,"",'Bear Model'!Model_FCFF/G27)</f>
        <v/>
      </c>
      <c r="H28" s="203" t="str">
        <f>IF('Bear Model'!ModelYear&gt;'Bear Model'!EXP_CAP,"",'Bear Model'!Model_FCFF/H27)</f>
        <v/>
      </c>
      <c r="I28" s="203" t="str">
        <f>IF('Bear Model'!ModelYear&gt;'Bear Model'!EXP_CAP,"",'Bear Model'!Model_FCFF/I27)</f>
        <v/>
      </c>
      <c r="J28" s="203" t="str">
        <f>IF('Bear Model'!ModelYear&gt;'Bear Model'!EXP_CAP,"",'Bear Model'!Model_FCFF/J27)</f>
        <v/>
      </c>
      <c r="K28" s="203" t="str">
        <f>IF('Bear Model'!ModelYear&gt;'Bear Model'!EXP_CAP,"",'Bear Model'!Model_FCFF/K27)</f>
        <v/>
      </c>
      <c r="L28" s="203" t="str">
        <f>IF('Bear Model'!ModelYear&gt;'Bear Model'!EXP_CAP,"",'Bear Model'!Model_FCFF/L27)</f>
        <v/>
      </c>
      <c r="M28" s="95"/>
    </row>
    <row r="29" ht="15.75" customHeight="1"/>
    <row r="30" ht="15.75" customHeight="1">
      <c r="A30" s="115" t="s">
        <v>260</v>
      </c>
      <c r="C30" s="65" t="s">
        <v>261</v>
      </c>
      <c r="D30" s="65" t="s">
        <v>262</v>
      </c>
    </row>
    <row r="31" ht="15.75" customHeight="1">
      <c r="A31" s="208" t="s">
        <v>263</v>
      </c>
      <c r="C31" s="171">
        <f>D31/D34</f>
        <v>0.1948491136</v>
      </c>
      <c r="D31" s="172">
        <f>SUM(C28:L28)</f>
        <v>7270.668399</v>
      </c>
    </row>
    <row r="32" ht="15.75" customHeight="1">
      <c r="A32" s="208" t="s">
        <v>264</v>
      </c>
      <c r="C32" s="171">
        <f>1-C31</f>
        <v>0.8051508864</v>
      </c>
      <c r="D32" s="172">
        <f>M25/('Bear Model'!Terminal_Wacc-'Bear Model'!Terminal_EbitGrowth)/IF('Bear Model'!EXP_CAP=0,1,INDIRECT(ADDRESS(ROW(A27),'Bear Model'!EXP_CAP+2)))</f>
        <v>26444.85354</v>
      </c>
    </row>
    <row r="33" ht="15.75" customHeight="1">
      <c r="A33" s="208" t="s">
        <v>265</v>
      </c>
      <c r="D33" s="172">
        <f>if(Data!D52="Yes",Data!D54,Data!D55)+Data!T6</f>
        <v>3598.83</v>
      </c>
    </row>
    <row r="34" ht="15.75" customHeight="1">
      <c r="A34" s="65" t="s">
        <v>266</v>
      </c>
      <c r="D34" s="203">
        <f>D31+D32+D33</f>
        <v>37314.35194</v>
      </c>
      <c r="E34" s="209"/>
    </row>
    <row r="35" ht="15.75" customHeight="1"/>
    <row r="36" ht="15.75" customHeight="1">
      <c r="A36" s="65" t="s">
        <v>267</v>
      </c>
      <c r="D36" s="172">
        <f>Data!D48</f>
        <v>641.2</v>
      </c>
    </row>
    <row r="37" ht="15.75" customHeight="1">
      <c r="A37" s="65" t="s">
        <v>268</v>
      </c>
      <c r="D37" s="210">
        <f>D34-D36</f>
        <v>36673.15194</v>
      </c>
      <c r="E37" s="38"/>
    </row>
    <row r="38" ht="15.75" customHeight="1">
      <c r="A38" s="65" t="s">
        <v>269</v>
      </c>
      <c r="D38" s="172">
        <f>Data!F58</f>
        <v>43.56</v>
      </c>
    </row>
    <row r="39" ht="15.75" customHeight="1">
      <c r="A39" s="65" t="s">
        <v>270</v>
      </c>
      <c r="D39" s="172">
        <f>Data!D49</f>
        <v>0</v>
      </c>
    </row>
    <row r="40" ht="15.75" customHeight="1">
      <c r="A40" s="65" t="s">
        <v>271</v>
      </c>
      <c r="D40" s="210">
        <f>D37-D38-D39</f>
        <v>36629.59194</v>
      </c>
      <c r="E40" s="38"/>
      <c r="F40" s="211" t="str">
        <f>Dashboard!C11</f>
        <v>CNY</v>
      </c>
    </row>
    <row r="41" ht="15.75" customHeight="1">
      <c r="A41" s="65" t="s">
        <v>272</v>
      </c>
      <c r="E41" s="212">
        <f>price_pershare(D40,Data!F2,Cs_Shares,Dashboard!C12)</f>
        <v>28.06091188</v>
      </c>
      <c r="F41" s="213" t="str">
        <f>Dashboard!D6</f>
        <v>CNY</v>
      </c>
    </row>
    <row r="42" ht="15.75" customHeight="1"/>
    <row r="43" ht="15.75" customHeight="1">
      <c r="A43" s="115" t="s">
        <v>273</v>
      </c>
      <c r="B43" s="65" t="s">
        <v>274</v>
      </c>
      <c r="D43" s="164" t="str">
        <f>F41</f>
        <v>CNY</v>
      </c>
      <c r="E43" s="164">
        <f>Dashboard!C6</f>
        <v>41.76</v>
      </c>
      <c r="F43" s="65" t="s">
        <v>275</v>
      </c>
      <c r="G43" s="214">
        <f>E43/E41-1</f>
        <v>0.4881911242</v>
      </c>
      <c r="H43" s="65" t="str">
        <f>IF(G43&lt;0,"undervalued","overvalued") &amp; " by the market."</f>
        <v>overvalued by the market.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">
    <mergeCell ref="D38:E38"/>
    <mergeCell ref="D39:E39"/>
    <mergeCell ref="D40:E40"/>
    <mergeCell ref="A1:C1"/>
    <mergeCell ref="D31:E31"/>
    <mergeCell ref="D32:E32"/>
    <mergeCell ref="D33:E33"/>
    <mergeCell ref="D34:E34"/>
    <mergeCell ref="D36:E36"/>
    <mergeCell ref="D37:E37"/>
  </mergeCells>
  <dataValidations>
    <dataValidation type="list" allowBlank="1" sqref="B2">
      <formula1>"Base Case,Bear Case,Bull Case"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6.88"/>
    <col customWidth="1" min="2" max="6" width="12.63"/>
  </cols>
  <sheetData>
    <row r="1" ht="15.75" customHeight="1">
      <c r="A1" s="87" t="s">
        <v>235</v>
      </c>
    </row>
    <row r="2" ht="15.75" customHeight="1">
      <c r="A2" s="115" t="s">
        <v>236</v>
      </c>
      <c r="B2" s="215" t="s">
        <v>38</v>
      </c>
    </row>
    <row r="3" ht="15.75" customHeight="1">
      <c r="A3" s="163" t="s">
        <v>237</v>
      </c>
      <c r="D3" s="163" t="s">
        <v>238</v>
      </c>
      <c r="H3" s="163" t="s">
        <v>239</v>
      </c>
    </row>
    <row r="4" ht="15.75" customHeight="1">
      <c r="A4" s="65" t="s">
        <v>240</v>
      </c>
      <c r="B4" s="100">
        <f>IF(Data!D41="No Adjustment",Data!D43,if(Data!D41="Direct Input",Data!D45,Data!D44))</f>
        <v>0.3746957532</v>
      </c>
      <c r="D4" s="65" t="s">
        <v>25</v>
      </c>
      <c r="F4" s="100">
        <f>Dashboard!G36</f>
        <v>0.03</v>
      </c>
      <c r="H4" s="65" t="s">
        <v>24</v>
      </c>
      <c r="J4" s="164">
        <f>IF(B2="Base Case",Dashboard!E34,IF(B2="Bear Case",Dashboard!D34,Dashboard!F34))</f>
        <v>6</v>
      </c>
    </row>
    <row r="5" ht="15.75" customHeight="1">
      <c r="A5" s="65" t="s">
        <v>241</v>
      </c>
      <c r="B5" s="165">
        <f>Dashboard!H11</f>
        <v>0.075</v>
      </c>
      <c r="D5" s="65" t="s">
        <v>241</v>
      </c>
      <c r="F5" s="165">
        <f>Dashboard!H12</f>
        <v>0.0975</v>
      </c>
      <c r="H5" s="116" t="s">
        <v>242</v>
      </c>
      <c r="J5" s="166">
        <f>_xlfn.FLOOR.MATH((J4/2))</f>
        <v>3</v>
      </c>
    </row>
    <row r="6" ht="15.75" customHeight="1"/>
    <row r="7" ht="15.75" customHeight="1">
      <c r="A7" s="115" t="s">
        <v>243</v>
      </c>
      <c r="B7" s="65" t="s">
        <v>244</v>
      </c>
    </row>
    <row r="8" ht="15.75" customHeight="1">
      <c r="A8" s="167" t="str">
        <f>"(Numbers in "&amp;Data!F2&amp;Dashboard!C11&amp;")"</f>
        <v>(Numbers in 1000000CNY)</v>
      </c>
      <c r="B8" s="168" t="str">
        <f>Data!B6</f>
        <v>FY 2021</v>
      </c>
      <c r="C8" s="168">
        <v>1.0</v>
      </c>
      <c r="D8" s="168">
        <v>2.0</v>
      </c>
      <c r="E8" s="168">
        <v>3.0</v>
      </c>
      <c r="F8" s="168">
        <v>4.0</v>
      </c>
      <c r="G8" s="168">
        <v>5.0</v>
      </c>
      <c r="H8" s="168">
        <v>6.0</v>
      </c>
      <c r="I8" s="168">
        <v>7.0</v>
      </c>
      <c r="J8" s="168">
        <v>8.0</v>
      </c>
      <c r="K8" s="168">
        <v>9.0</v>
      </c>
      <c r="L8" s="168">
        <v>10.0</v>
      </c>
      <c r="M8" s="168" t="s">
        <v>245</v>
      </c>
    </row>
    <row r="9" ht="15.75" customHeight="1">
      <c r="A9" s="169" t="s">
        <v>161</v>
      </c>
      <c r="B9" s="170">
        <f>IF(Data!D66="No",Data!C87,Data!D87)</f>
        <v>7403.532</v>
      </c>
      <c r="C9" s="170">
        <f>IF('Base Model'!ModelYear&gt;'Base Model'!EXP_CAP,"",B9+B23)</f>
        <v>8439.95</v>
      </c>
      <c r="D9" s="170">
        <f>IF('Base Model'!ModelYear&gt;'Base Model'!EXP_CAP,"",C9+C23)</f>
        <v>9311.119445</v>
      </c>
      <c r="E9" s="170">
        <f>IF('Base Model'!ModelYear&gt;'Base Model'!EXP_CAP,"",D9+D23)</f>
        <v>10509.42935</v>
      </c>
      <c r="F9" s="170">
        <f>IF('Base Model'!ModelYear&gt;'Base Model'!EXP_CAP,"",E9+E23)</f>
        <v>11740.55442</v>
      </c>
      <c r="G9" s="170">
        <f>IF('Base Model'!ModelYear&gt;'Base Model'!EXP_CAP,"",F9+F23)</f>
        <v>12958.55557</v>
      </c>
      <c r="H9" s="170">
        <f>IF('Base Model'!ModelYear&gt;'Base Model'!EXP_CAP,"",G9+G23)</f>
        <v>14134.09694</v>
      </c>
      <c r="I9" s="170" t="str">
        <f>IF('Base Model'!ModelYear&gt;'Base Model'!EXP_CAP,"",H9+H23)</f>
        <v/>
      </c>
      <c r="J9" s="170" t="str">
        <f>IF('Base Model'!ModelYear&gt;'Base Model'!EXP_CAP,"",I9+I23)</f>
        <v/>
      </c>
      <c r="K9" s="170" t="str">
        <f>IF('Base Model'!ModelYear&gt;'Base Model'!EXP_CAP,"",J9+J23)</f>
        <v/>
      </c>
      <c r="L9" s="170" t="str">
        <f>IF('Base Model'!ModelYear&gt;'Base Model'!EXP_CAP,"",K9+K23)</f>
        <v/>
      </c>
      <c r="M9" s="56"/>
    </row>
    <row r="10" ht="15.75" customHeight="1">
      <c r="A10" s="169" t="s">
        <v>246</v>
      </c>
      <c r="B10" s="56"/>
      <c r="C10" s="171">
        <f>IF('Base Model'!ModelYear&gt;'Base Model'!EXP_CAP,"",C11/B11-1)</f>
        <v>0.07673355468</v>
      </c>
      <c r="D10" s="171">
        <f>IF('Base Model'!ModelYear&gt;'Base Model'!EXP_CAP,"",D11/C11-1)</f>
        <v>0.1752444357</v>
      </c>
      <c r="E10" s="171">
        <f>IF('Base Model'!ModelYear&gt;'Base Model'!EXP_CAP,"",E11/D11-1)</f>
        <v>0.1687844414</v>
      </c>
      <c r="F10" s="171">
        <f>IF('Base Model'!ModelYear&gt;'Base Model'!EXP_CAP,"",F11/E11-1)</f>
        <v>0.1512890916</v>
      </c>
      <c r="G10" s="171">
        <f>IF('Base Model'!ModelYear&gt;'Base Model'!EXP_CAP,"",G11/F11-1)</f>
        <v>0.1316257491</v>
      </c>
      <c r="H10" s="171">
        <f>IF('Base Model'!ModelYear&gt;'Base Model'!EXP_CAP,"",H11/G11-1)</f>
        <v>0.08733623494</v>
      </c>
      <c r="I10" s="171" t="str">
        <f>IF('Base Model'!ModelYear&gt;'Base Model'!EXP_CAP,"",I11/H11-1)</f>
        <v/>
      </c>
      <c r="J10" s="171" t="str">
        <f>IF('Base Model'!ModelYear&gt;'Base Model'!EXP_CAP,"",J11/I11-1)</f>
        <v/>
      </c>
      <c r="K10" s="171" t="str">
        <f>IF('Base Model'!ModelYear&gt;'Base Model'!EXP_CAP,"",K11/J11-1)</f>
        <v/>
      </c>
      <c r="L10" s="171" t="str">
        <f>IF('Base Model'!ModelYear&gt;'Base Model'!EXP_CAP,"",L11/K11-1)</f>
        <v/>
      </c>
      <c r="M10" s="171">
        <f>M11/INDIRECT(ADDRESS(ROW(A11),'Base Model'!EXP_CAP+2))-1</f>
        <v>0.03</v>
      </c>
    </row>
    <row r="11" ht="15.75" customHeight="1">
      <c r="A11" s="65" t="s">
        <v>247</v>
      </c>
      <c r="B11" s="172">
        <f>Data!C6</f>
        <v>9309.22</v>
      </c>
      <c r="C11" s="172">
        <f>IF('Base Model'!ModelYear&gt;'Base Model'!EXP_CAP,"",C16/C12)</f>
        <v>10023.54954</v>
      </c>
      <c r="D11" s="172">
        <f>IF('Base Model'!ModelYear&gt;'Base Model'!EXP_CAP,"",D16/D12)</f>
        <v>11780.12083</v>
      </c>
      <c r="E11" s="172">
        <f>IF('Base Model'!ModelYear&gt;'Base Model'!EXP_CAP,"",E16/E12)</f>
        <v>13768.42194</v>
      </c>
      <c r="F11" s="172">
        <f>IF('Base Model'!ModelYear&gt;'Base Model'!EXP_CAP,"",F16/F12)</f>
        <v>15851.43399</v>
      </c>
      <c r="G11" s="172">
        <f>IF('Base Model'!ModelYear&gt;'Base Model'!EXP_CAP,"",G16/G12)</f>
        <v>17937.89086</v>
      </c>
      <c r="H11" s="172">
        <f>IF('Base Model'!ModelYear&gt;'Base Model'!EXP_CAP,"",H16/H12)</f>
        <v>19504.51871</v>
      </c>
      <c r="I11" s="172" t="str">
        <f>IF('Base Model'!ModelYear&gt;'Base Model'!EXP_CAP,"",I16/I12)</f>
        <v/>
      </c>
      <c r="J11" s="172" t="str">
        <f>IF('Base Model'!ModelYear&gt;'Base Model'!EXP_CAP,"",J16/J12)</f>
        <v/>
      </c>
      <c r="K11" s="172" t="str">
        <f>IF('Base Model'!ModelYear&gt;'Base Model'!EXP_CAP,"",K16/K12)</f>
        <v/>
      </c>
      <c r="L11" s="172" t="str">
        <f>IF('Base Model'!ModelYear&gt;'Base Model'!EXP_CAP,"",L16/L12)</f>
        <v/>
      </c>
      <c r="M11" s="172">
        <f>M16/M12</f>
        <v>20089.65427</v>
      </c>
    </row>
    <row r="12" ht="15.75" customHeight="1">
      <c r="A12" s="173" t="s">
        <v>248</v>
      </c>
      <c r="B12" s="171">
        <f>B16/B11</f>
        <v>0.3771656487</v>
      </c>
      <c r="C12" s="174">
        <f>average(Data!F6:F8)</f>
        <v>0.3158735911</v>
      </c>
      <c r="D12" s="175">
        <f t="shared" ref="D12:H12" si="1">C12</f>
        <v>0.3158735911</v>
      </c>
      <c r="E12" s="175">
        <f t="shared" si="1"/>
        <v>0.3158735911</v>
      </c>
      <c r="F12" s="175">
        <f t="shared" si="1"/>
        <v>0.3158735911</v>
      </c>
      <c r="G12" s="175">
        <f t="shared" si="1"/>
        <v>0.3158735911</v>
      </c>
      <c r="H12" s="175">
        <f t="shared" si="1"/>
        <v>0.3158735911</v>
      </c>
      <c r="I12" s="175"/>
      <c r="J12" s="175"/>
      <c r="K12" s="175"/>
      <c r="L12" s="175"/>
      <c r="M12" s="175">
        <f>D12</f>
        <v>0.3158735911</v>
      </c>
    </row>
    <row r="13" ht="15.75" customHeight="1">
      <c r="A13" s="169" t="s">
        <v>249</v>
      </c>
      <c r="B13" s="176"/>
      <c r="C13" s="177">
        <v>0.35</v>
      </c>
      <c r="D13" s="177">
        <v>0.345</v>
      </c>
      <c r="E13" s="177">
        <v>0.348</v>
      </c>
      <c r="F13" s="177">
        <v>0.35</v>
      </c>
      <c r="G13" s="177">
        <v>0.35</v>
      </c>
      <c r="H13" s="177">
        <v>0.34</v>
      </c>
      <c r="I13" s="178"/>
      <c r="J13" s="178"/>
      <c r="K13" s="178"/>
      <c r="L13" s="178"/>
      <c r="M13" s="119"/>
    </row>
    <row r="14" ht="15.75" customHeight="1">
      <c r="A14" s="169" t="s">
        <v>250</v>
      </c>
      <c r="B14" s="173"/>
      <c r="C14" s="177">
        <v>0.35</v>
      </c>
      <c r="D14" s="177">
        <v>0.345</v>
      </c>
      <c r="E14" s="177">
        <v>0.348</v>
      </c>
      <c r="F14" s="177">
        <v>0.35</v>
      </c>
      <c r="G14" s="177">
        <v>0.35</v>
      </c>
      <c r="H14" s="177">
        <v>0.34</v>
      </c>
      <c r="I14" s="178"/>
      <c r="J14" s="178"/>
      <c r="K14" s="178"/>
      <c r="L14" s="178"/>
      <c r="M14" s="119"/>
    </row>
    <row r="15" ht="15.75" customHeight="1">
      <c r="A15" s="179" t="s">
        <v>251</v>
      </c>
      <c r="B15" s="180"/>
      <c r="C15" s="181">
        <f>IF('Base Model'!ModelYear&gt;'Base Model'!EXP_CAP,"",C13*B24+(C14-B19)/C14)</f>
        <v>-0.09824318363</v>
      </c>
      <c r="D15" s="181">
        <f>IF('Base Model'!ModelYear&gt;'Base Model'!EXP_CAP,"",D13*C24+(D14-C19)/D14)</f>
        <v>0.1752444357</v>
      </c>
      <c r="E15" s="181">
        <f>IF('Base Model'!ModelYear&gt;'Base Model'!EXP_CAP,"",E13*D24+(E14-D19)/E14)</f>
        <v>0.1687844414</v>
      </c>
      <c r="F15" s="181">
        <f>IF('Base Model'!ModelYear&gt;'Base Model'!EXP_CAP,"",F13*E24+(F14-E19)/F14)</f>
        <v>0.1512890916</v>
      </c>
      <c r="G15" s="181">
        <f>IF('Base Model'!ModelYear&gt;'Base Model'!EXP_CAP,"",G13*F24+(G14-F19)/G14)</f>
        <v>0.1316257491</v>
      </c>
      <c r="H15" s="181">
        <f>IF('Base Model'!ModelYear&gt;'Base Model'!EXP_CAP,"",H13*G24+(H14-G19)/H14)</f>
        <v>0.08733623494</v>
      </c>
      <c r="I15" s="181" t="str">
        <f>IF('Base Model'!ModelYear&gt;'Base Model'!EXP_CAP,"",I13*H24+(I14-H19)/I14)</f>
        <v/>
      </c>
      <c r="J15" s="181" t="str">
        <f>IF('Base Model'!ModelYear&gt;'Base Model'!EXP_CAP,"",J13*I24+(J14-I19)/J14)</f>
        <v/>
      </c>
      <c r="K15" s="181" t="str">
        <f>IF('Base Model'!ModelYear&gt;'Base Model'!EXP_CAP,"",K13*J24+(K14-J19)/K14)</f>
        <v/>
      </c>
      <c r="L15" s="181" t="str">
        <f>IF('Base Model'!ModelYear&gt;'Base Model'!EXP_CAP,"",L13*K24+(L14-K19)/L14)</f>
        <v/>
      </c>
      <c r="M15" s="181">
        <f>'Base Model'!Terminal_EbitGrowth</f>
        <v>0.03</v>
      </c>
    </row>
    <row r="16" ht="15.75" customHeight="1">
      <c r="A16" s="65" t="s">
        <v>252</v>
      </c>
      <c r="B16" s="172">
        <f>IF(Data!D66="No",Data!C83,Data!D83)</f>
        <v>3511.118</v>
      </c>
      <c r="C16" s="172">
        <f>IF('Base Model'!ModelYear&gt;'Base Model'!EXP_CAP,"",B16*(1+'Base Model'!Model_EbitGrowth))</f>
        <v>3166.17459</v>
      </c>
      <c r="D16" s="172">
        <f>IF('Base Model'!ModelYear&gt;'Base Model'!EXP_CAP,"",C16*(1+'Base Model'!Model_EbitGrowth))</f>
        <v>3721.029069</v>
      </c>
      <c r="E16" s="172">
        <f>IF('Base Model'!ModelYear&gt;'Base Model'!EXP_CAP,"",D16*(1+'Base Model'!Model_EbitGrowth))</f>
        <v>4349.080882</v>
      </c>
      <c r="F16" s="172">
        <f>IF('Base Model'!ModelYear&gt;'Base Model'!EXP_CAP,"",E16*(1+'Base Model'!Model_EbitGrowth))</f>
        <v>5007.049378</v>
      </c>
      <c r="G16" s="172">
        <f>IF('Base Model'!ModelYear&gt;'Base Model'!EXP_CAP,"",F16*(1+'Base Model'!Model_EbitGrowth))</f>
        <v>5666.106003</v>
      </c>
      <c r="H16" s="172">
        <f>IF('Base Model'!ModelYear&gt;'Base Model'!EXP_CAP,"",G16*(1+'Base Model'!Model_EbitGrowth))</f>
        <v>6160.962368</v>
      </c>
      <c r="I16" s="172" t="str">
        <f>IF('Base Model'!ModelYear&gt;'Base Model'!EXP_CAP,"",H16*(1+'Base Model'!Model_EbitGrowth))</f>
        <v/>
      </c>
      <c r="J16" s="172" t="str">
        <f>IF('Base Model'!ModelYear&gt;'Base Model'!EXP_CAP,"",I16*(1+'Base Model'!Model_EbitGrowth))</f>
        <v/>
      </c>
      <c r="K16" s="172" t="str">
        <f>IF('Base Model'!ModelYear&gt;'Base Model'!EXP_CAP,"",J16*(1+'Base Model'!Model_EbitGrowth))</f>
        <v/>
      </c>
      <c r="L16" s="172" t="str">
        <f>IF('Base Model'!ModelYear&gt;'Base Model'!EXP_CAP,"",K16*(1+'Base Model'!Model_EbitGrowth))</f>
        <v/>
      </c>
      <c r="M16" s="172">
        <f>INDIRECT(ADDRESS(ROW(A16),'Base Model'!EXP_CAP+2))*(1+'Base Model'!Terminal_EbitGrowth)</f>
        <v>6345.791239</v>
      </c>
    </row>
    <row r="17" ht="15.75" customHeight="1">
      <c r="A17" s="169" t="s">
        <v>253</v>
      </c>
      <c r="B17" s="171">
        <f>Data!F29</f>
        <v>0.120348854</v>
      </c>
      <c r="C17" s="174">
        <v>0.14</v>
      </c>
      <c r="D17" s="174">
        <v>0.16</v>
      </c>
      <c r="E17" s="174">
        <v>0.18</v>
      </c>
      <c r="F17" s="174">
        <v>0.2</v>
      </c>
      <c r="G17" s="174">
        <v>0.22</v>
      </c>
      <c r="H17" s="174">
        <v>0.24</v>
      </c>
      <c r="I17" s="175"/>
      <c r="J17" s="175"/>
      <c r="K17" s="175"/>
      <c r="L17" s="175"/>
      <c r="M17" s="171">
        <f>Data!D28</f>
        <v>0.25</v>
      </c>
    </row>
    <row r="18" ht="15.75" customHeight="1">
      <c r="A18" s="182" t="s">
        <v>147</v>
      </c>
      <c r="B18" s="183">
        <f>IF(Data!D66="No",Data!C85,Data!D85)</f>
        <v>3144.709897</v>
      </c>
      <c r="C18" s="183">
        <f>IF('Base Model'!ModelYear&gt;'Base Model'!EXP_CAP,"",C16*(1-C17))</f>
        <v>2722.910147</v>
      </c>
      <c r="D18" s="183">
        <f>IF('Base Model'!ModelYear&gt;'Base Model'!EXP_CAP,"",D16*(1-D17))</f>
        <v>3125.664418</v>
      </c>
      <c r="E18" s="183">
        <f>IF('Base Model'!ModelYear&gt;'Base Model'!EXP_CAP,"",E16*(1-E17))</f>
        <v>3566.246323</v>
      </c>
      <c r="F18" s="183">
        <f>IF('Base Model'!ModelYear&gt;'Base Model'!EXP_CAP,"",F16*(1-F17))</f>
        <v>4005.639502</v>
      </c>
      <c r="G18" s="183">
        <f>IF('Base Model'!ModelYear&gt;'Base Model'!EXP_CAP,"",G16*(1-G17))</f>
        <v>4419.562682</v>
      </c>
      <c r="H18" s="183">
        <f>IF('Base Model'!ModelYear&gt;'Base Model'!EXP_CAP,"",H16*(1-H17))</f>
        <v>4682.3314</v>
      </c>
      <c r="I18" s="183" t="str">
        <f>IF('Base Model'!ModelYear&gt;'Base Model'!EXP_CAP,"",I16*(1-I17))</f>
        <v/>
      </c>
      <c r="J18" s="183" t="str">
        <f>IF('Base Model'!ModelYear&gt;'Base Model'!EXP_CAP,"",J16*(1-J17))</f>
        <v/>
      </c>
      <c r="K18" s="183" t="str">
        <f>IF('Base Model'!ModelYear&gt;'Base Model'!EXP_CAP,"",K16*(1-K17))</f>
        <v/>
      </c>
      <c r="L18" s="183" t="str">
        <f>IF('Base Model'!ModelYear&gt;'Base Model'!EXP_CAP,"",L16*(1-L17))</f>
        <v/>
      </c>
      <c r="M18" s="183">
        <f>M16*(1-M17)</f>
        <v>4759.343429</v>
      </c>
    </row>
    <row r="19" ht="15.75" customHeight="1">
      <c r="A19" s="173" t="s">
        <v>254</v>
      </c>
      <c r="B19" s="171">
        <f>B18/B9</f>
        <v>0.424758061</v>
      </c>
      <c r="C19" s="171">
        <f>IF('Base Model'!ModelYear&gt;'Base Model'!EXP_CAP,"",C18/C9)</f>
        <v>0.3226215969</v>
      </c>
      <c r="D19" s="171">
        <f>IF('Base Model'!ModelYear&gt;'Base Model'!EXP_CAP,"",D18/D9)</f>
        <v>0.3356915821</v>
      </c>
      <c r="E19" s="171">
        <f>IF('Base Model'!ModelYear&gt;'Base Model'!EXP_CAP,"",E18/E9)</f>
        <v>0.3393377705</v>
      </c>
      <c r="F19" s="171">
        <f>IF('Base Model'!ModelYear&gt;'Base Model'!EXP_CAP,"",F18/F9)</f>
        <v>0.3411797569</v>
      </c>
      <c r="G19" s="171">
        <f>IF('Base Model'!ModelYear&gt;'Base Model'!EXP_CAP,"",G18/G9)</f>
        <v>0.3410536505</v>
      </c>
      <c r="H19" s="171">
        <f>IF('Base Model'!ModelYear&gt;'Base Model'!EXP_CAP,"",H18/H9)</f>
        <v>0.3312791344</v>
      </c>
      <c r="I19" s="171" t="str">
        <f>IF('Base Model'!ModelYear&gt;'Base Model'!EXP_CAP,"",I18/I9)</f>
        <v/>
      </c>
      <c r="J19" s="171" t="str">
        <f>IF('Base Model'!ModelYear&gt;'Base Model'!EXP_CAP,"",J18/J9)</f>
        <v/>
      </c>
      <c r="K19" s="171" t="str">
        <f>IF('Base Model'!ModelYear&gt;'Base Model'!EXP_CAP,"",K18/K9)</f>
        <v/>
      </c>
      <c r="L19" s="171" t="str">
        <f>IF('Base Model'!ModelYear&gt;'Base Model'!EXP_CAP,"",L18/L9)</f>
        <v/>
      </c>
      <c r="M19" s="171">
        <f>Dashboard!G37</f>
        <v>0.0975</v>
      </c>
    </row>
    <row r="20" ht="15.75" customHeight="1">
      <c r="A20" s="116" t="s">
        <v>234</v>
      </c>
      <c r="B20" s="184">
        <f>IF(Data!D66="No",Data!C92,Data!D92)</f>
        <v>568.558</v>
      </c>
      <c r="C20" s="185">
        <f>B20</f>
        <v>568.558</v>
      </c>
      <c r="D20" s="185">
        <f>C20*0.95</f>
        <v>540.1301</v>
      </c>
      <c r="E20" s="185">
        <f t="shared" ref="E20:G20" si="2">D20*0.9</f>
        <v>486.11709</v>
      </c>
      <c r="F20" s="185">
        <f t="shared" si="2"/>
        <v>437.505381</v>
      </c>
      <c r="G20" s="185">
        <f t="shared" si="2"/>
        <v>393.7548429</v>
      </c>
      <c r="H20" s="185"/>
      <c r="I20" s="186"/>
      <c r="J20" s="186"/>
      <c r="K20" s="186"/>
      <c r="L20" s="187" t="str">
        <f>IF('Base Model'!ModelYear&gt;='Base Model'!EXP_CAP,"",L11*#REF!)</f>
        <v/>
      </c>
      <c r="M20" s="187"/>
    </row>
    <row r="21" ht="15.75" customHeight="1">
      <c r="A21" s="169" t="s">
        <v>168</v>
      </c>
      <c r="B21" s="188">
        <f>Data!AC6</f>
        <v>3453.17</v>
      </c>
      <c r="C21" s="189">
        <f>IF('Base Model'!ModelYear&gt;='Base Model'!EXP_CAP,"",C11*$B$4)</f>
        <v>3755.781445</v>
      </c>
      <c r="D21" s="189">
        <f>IF('Base Model'!ModelYear&gt;='Base Model'!EXP_CAP,"",D11*$B$4)</f>
        <v>4413.961245</v>
      </c>
      <c r="E21" s="189">
        <f>IF('Base Model'!ModelYear&gt;='Base Model'!EXP_CAP,"",E11*$B$4)</f>
        <v>5158.969229</v>
      </c>
      <c r="F21" s="189">
        <f>IF('Base Model'!ModelYear&gt;='Base Model'!EXP_CAP,"",F11*$B$4)</f>
        <v>5939.464997</v>
      </c>
      <c r="G21" s="189">
        <f>IF('Base Model'!ModelYear&gt;='Base Model'!EXP_CAP,"",G11*$B$4)</f>
        <v>6721.251526</v>
      </c>
      <c r="H21" s="189" t="str">
        <f>IF('Base Model'!ModelYear&gt;='Base Model'!EXP_CAP,"",H11*$B$4)</f>
        <v/>
      </c>
      <c r="I21" s="189" t="str">
        <f>IF('Base Model'!ModelYear&gt;='Base Model'!EXP_CAP,"",I11*$B$4)</f>
        <v/>
      </c>
      <c r="J21" s="189" t="str">
        <f>IF('Base Model'!ModelYear&gt;='Base Model'!EXP_CAP,"",J11*$B$4)</f>
        <v/>
      </c>
      <c r="K21" s="189" t="str">
        <f>IF('Base Model'!ModelYear&gt;='Base Model'!EXP_CAP,"",K11*$B$4)</f>
        <v/>
      </c>
      <c r="L21" s="190" t="str">
        <f>IF('Base Model'!ModelYear&gt;='Base Model'!EXP_CAP,"",L11*$B$4)</f>
        <v/>
      </c>
      <c r="M21" s="191"/>
    </row>
    <row r="22" ht="15.75" customHeight="1">
      <c r="A22" s="192" t="s">
        <v>169</v>
      </c>
      <c r="B22" s="193">
        <f>Data!AD6</f>
        <v>467.86</v>
      </c>
      <c r="C22" s="194">
        <f>IF('Base Model'!ModelYear&gt;='Base Model'!EXP_CAP,"",C21-B21)</f>
        <v>302.6114453</v>
      </c>
      <c r="D22" s="194">
        <f>IF('Base Model'!ModelYear&gt;='Base Model'!EXP_CAP,"",D21-C21)</f>
        <v>658.1798</v>
      </c>
      <c r="E22" s="194">
        <f>IF('Base Model'!ModelYear&gt;='Base Model'!EXP_CAP,"",E21-D21)</f>
        <v>745.0079833</v>
      </c>
      <c r="F22" s="194">
        <f>IF('Base Model'!ModelYear&gt;='Base Model'!EXP_CAP,"",F21-E21)</f>
        <v>780.495768</v>
      </c>
      <c r="G22" s="194">
        <f>IF('Base Model'!ModelYear&gt;='Base Model'!EXP_CAP,"",G21-F21)</f>
        <v>781.7865295</v>
      </c>
      <c r="H22" s="194" t="str">
        <f>IF('Base Model'!ModelYear&gt;='Base Model'!EXP_CAP,"",H21-G21)</f>
        <v/>
      </c>
      <c r="I22" s="194" t="str">
        <f>IF('Base Model'!ModelYear&gt;='Base Model'!EXP_CAP,"",I21-H21)</f>
        <v/>
      </c>
      <c r="J22" s="194" t="str">
        <f>IF('Base Model'!ModelYear&gt;='Base Model'!EXP_CAP,"",J21-I21)</f>
        <v/>
      </c>
      <c r="K22" s="194" t="str">
        <f>IF('Base Model'!ModelYear&gt;='Base Model'!EXP_CAP,"",K21-J21)</f>
        <v/>
      </c>
      <c r="L22" s="195" t="str">
        <f>IF('Base Model'!ModelYear&gt;='Base Model'!EXP_CAP,"",L21-K21)</f>
        <v/>
      </c>
      <c r="M22" s="195"/>
    </row>
    <row r="23" ht="15.75" customHeight="1">
      <c r="A23" s="196" t="s">
        <v>171</v>
      </c>
      <c r="B23" s="184">
        <f>B20+B22</f>
        <v>1036.418</v>
      </c>
      <c r="C23" s="172">
        <f t="shared" ref="C23:K23" si="3">IF(C22="","",C20+C22)</f>
        <v>871.1694453</v>
      </c>
      <c r="D23" s="172">
        <f t="shared" si="3"/>
        <v>1198.3099</v>
      </c>
      <c r="E23" s="172">
        <f t="shared" si="3"/>
        <v>1231.125073</v>
      </c>
      <c r="F23" s="172">
        <f t="shared" si="3"/>
        <v>1218.001149</v>
      </c>
      <c r="G23" s="172">
        <f t="shared" si="3"/>
        <v>1175.541372</v>
      </c>
      <c r="H23" s="172" t="str">
        <f t="shared" si="3"/>
        <v/>
      </c>
      <c r="I23" s="172" t="str">
        <f t="shared" si="3"/>
        <v/>
      </c>
      <c r="J23" s="172" t="str">
        <f t="shared" si="3"/>
        <v/>
      </c>
      <c r="K23" s="172" t="str">
        <f t="shared" si="3"/>
        <v/>
      </c>
      <c r="L23" s="187"/>
      <c r="M23" s="187"/>
    </row>
    <row r="24" ht="15.75" customHeight="1">
      <c r="A24" s="197" t="s">
        <v>255</v>
      </c>
      <c r="B24" s="171">
        <f>B23/B18</f>
        <v>0.329575075</v>
      </c>
      <c r="C24" s="198">
        <f>IF('Base Model'!ModelYear&gt;'Base Model'!EXP_CAP,"",IF(C22="",$M$15/C19,C23/C18))</f>
        <v>0.3199405776</v>
      </c>
      <c r="D24" s="198">
        <f>IF('Base Model'!ModelYear&gt;'Base Model'!EXP_CAP,"",IF(D22="",$M$15/D19,D23/D18))</f>
        <v>0.3833776567</v>
      </c>
      <c r="E24" s="198">
        <f>IF('Base Model'!ModelYear&gt;'Base Model'!EXP_CAP,"",IF(E22="",$M$15/E19,E23/E18))</f>
        <v>0.345215939</v>
      </c>
      <c r="F24" s="198">
        <f>IF('Base Model'!ModelYear&gt;'Base Model'!EXP_CAP,"",IF(F22="",$M$15/F19,F23/F18))</f>
        <v>0.3040715842</v>
      </c>
      <c r="G24" s="198">
        <f>IF('Base Model'!ModelYear&gt;'Base Model'!EXP_CAP,"",IF(G22="",$M$15/G19,G23/G18))</f>
        <v>0.2659859033</v>
      </c>
      <c r="H24" s="198">
        <f>IF('Base Model'!ModelYear&gt;'Base Model'!EXP_CAP,"",IF(H22="",$M$15/H19,H23/H18))</f>
        <v>0.0905580729</v>
      </c>
      <c r="I24" s="198" t="str">
        <f>IF('Base Model'!ModelYear&gt;'Base Model'!EXP_CAP,"",IF(I22="",$M$15/I19,I23/I18))</f>
        <v/>
      </c>
      <c r="J24" s="198" t="str">
        <f>IF('Base Model'!ModelYear&gt;'Base Model'!EXP_CAP,"",IF(J22="",$M$15/J19,J23/J18))</f>
        <v/>
      </c>
      <c r="K24" s="198" t="str">
        <f>IF('Base Model'!ModelYear&gt;'Base Model'!EXP_CAP,"",IF(K22="",$M$15/K19,K23/K18))</f>
        <v/>
      </c>
      <c r="L24" s="119"/>
      <c r="M24" s="199">
        <f>M15/M19</f>
        <v>0.3076923077</v>
      </c>
    </row>
    <row r="25" ht="15.75" customHeight="1">
      <c r="A25" s="200" t="s">
        <v>256</v>
      </c>
      <c r="B25" s="201">
        <f>B18-(B20+B22)</f>
        <v>2108.291897</v>
      </c>
      <c r="C25" s="202">
        <f>IF('Base Model'!ModelYear&gt;'Base Model'!EXP_CAP,"",IF('Base Model'!ModelYear='Base Model'!EXP_CAP,'Base Model'!Model_NOPAT*(1-C24),'Base Model'!Model_NOPAT-C23))</f>
        <v>1851.740702</v>
      </c>
      <c r="D25" s="202">
        <f>IF('Base Model'!ModelYear&gt;'Base Model'!EXP_CAP,"",IF('Base Model'!ModelYear='Base Model'!EXP_CAP,'Base Model'!Model_NOPAT*(1-D24),'Base Model'!Model_NOPAT-D23))</f>
        <v>1927.354518</v>
      </c>
      <c r="E25" s="202">
        <f>IF('Base Model'!ModelYear&gt;'Base Model'!EXP_CAP,"",IF('Base Model'!ModelYear='Base Model'!EXP_CAP,'Base Model'!Model_NOPAT*(1-E24),'Base Model'!Model_NOPAT-E23))</f>
        <v>2335.12125</v>
      </c>
      <c r="F25" s="202">
        <f>IF('Base Model'!ModelYear&gt;'Base Model'!EXP_CAP,"",IF('Base Model'!ModelYear='Base Model'!EXP_CAP,'Base Model'!Model_NOPAT*(1-F24),'Base Model'!Model_NOPAT-F23))</f>
        <v>2787.638353</v>
      </c>
      <c r="G25" s="202">
        <f>IF('Base Model'!ModelYear&gt;'Base Model'!EXP_CAP,"",IF('Base Model'!ModelYear='Base Model'!EXP_CAP,'Base Model'!Model_NOPAT*(1-G24),'Base Model'!Model_NOPAT-G23))</f>
        <v>3244.02131</v>
      </c>
      <c r="H25" s="202">
        <f>IF('Base Model'!ModelYear&gt;'Base Model'!EXP_CAP,"",IF('Base Model'!ModelYear='Base Model'!EXP_CAP,'Base Model'!Model_NOPAT*(1-H24),'Base Model'!Model_NOPAT-H23))</f>
        <v>4258.308491</v>
      </c>
      <c r="I25" s="202" t="str">
        <f>IF('Base Model'!ModelYear&gt;'Base Model'!EXP_CAP,"",IF('Base Model'!ModelYear='Base Model'!EXP_CAP,'Base Model'!Model_NOPAT*(1-I24),'Base Model'!Model_NOPAT-I23))</f>
        <v/>
      </c>
      <c r="J25" s="202" t="str">
        <f>IF('Base Model'!ModelYear&gt;'Base Model'!EXP_CAP,"",IF('Base Model'!ModelYear='Base Model'!EXP_CAP,'Base Model'!Model_NOPAT*(1-J24),'Base Model'!Model_NOPAT-J23))</f>
        <v/>
      </c>
      <c r="K25" s="202" t="str">
        <f>IF('Base Model'!ModelYear&gt;'Base Model'!EXP_CAP,"",IF('Base Model'!ModelYear='Base Model'!EXP_CAP,'Base Model'!Model_NOPAT*(1-K24),'Base Model'!Model_NOPAT-K23))</f>
        <v/>
      </c>
      <c r="L25" s="202" t="str">
        <f>IF('Base Model'!ModelYear&gt;'Base Model'!EXP_CAP,"",IF('Base Model'!ModelYear='Base Model'!EXP_CAP,'Base Model'!Model_NOPAT*(1-L24),'Base Model'!Model_NOPAT-L23))</f>
        <v/>
      </c>
      <c r="M25" s="203">
        <f>M18*(1-M24)</f>
        <v>3294.930066</v>
      </c>
    </row>
    <row r="26" ht="15.75" customHeight="1">
      <c r="A26" s="169" t="s">
        <v>257</v>
      </c>
      <c r="B26" s="56"/>
      <c r="C26" s="171">
        <f>discount_rate('Base Model'!EXP_Wacc,'Base Model'!Terminal_Wacc,C8,'Base Model'!EXP_CAP,$J5)</f>
        <v>0.075</v>
      </c>
      <c r="D26" s="171">
        <f>discount_rate('Base Model'!EXP_Wacc,'Base Model'!Terminal_Wacc,D8,'Base Model'!EXP_CAP,$J5)</f>
        <v>0.075</v>
      </c>
      <c r="E26" s="171">
        <f>discount_rate('Base Model'!EXP_Wacc,'Base Model'!Terminal_Wacc,E8,'Base Model'!EXP_CAP,$J5)</f>
        <v>0.075</v>
      </c>
      <c r="F26" s="171">
        <f>discount_rate('Base Model'!EXP_Wacc,'Base Model'!Terminal_Wacc,F8,'Base Model'!EXP_CAP,$J5)</f>
        <v>0.0825</v>
      </c>
      <c r="G26" s="171">
        <f>discount_rate('Base Model'!EXP_Wacc,'Base Model'!Terminal_Wacc,G8,'Base Model'!EXP_CAP,$J5)</f>
        <v>0.09</v>
      </c>
      <c r="H26" s="171">
        <f>discount_rate('Base Model'!EXP_Wacc,'Base Model'!Terminal_Wacc,H8,'Base Model'!EXP_CAP,$J5)</f>
        <v>0.0975</v>
      </c>
      <c r="I26" s="171" t="str">
        <f>discount_rate('Base Model'!EXP_Wacc,'Base Model'!Terminal_Wacc,I8,'Base Model'!EXP_CAP,$J5)</f>
        <v/>
      </c>
      <c r="J26" s="171" t="str">
        <f>discount_rate('Base Model'!EXP_Wacc,'Base Model'!Terminal_Wacc,J8,'Base Model'!EXP_CAP,$J5)</f>
        <v/>
      </c>
      <c r="K26" s="171" t="str">
        <f>discount_rate('Base Model'!EXP_Wacc,'Base Model'!Terminal_Wacc,K8,'Base Model'!EXP_CAP,$J5)</f>
        <v/>
      </c>
      <c r="L26" s="171" t="str">
        <f>discount_rate('Base Model'!EXP_Wacc,'Base Model'!Terminal_Wacc,L8,'Base Model'!EXP_CAP,$J5)</f>
        <v/>
      </c>
      <c r="M26" s="171">
        <f>'Base Model'!Terminal_Wacc</f>
        <v>0.0975</v>
      </c>
    </row>
    <row r="27" ht="15.75" customHeight="1">
      <c r="A27" s="204" t="s">
        <v>258</v>
      </c>
      <c r="B27" s="205"/>
      <c r="C27" s="199">
        <f>IF('Base Model'!ModelYear&gt;'Base Model'!EXP_CAP,"",1+C26)</f>
        <v>1.075</v>
      </c>
      <c r="D27" s="199">
        <f>IF('Base Model'!ModelYear&gt;'Base Model'!EXP_CAP,"",(1+C26)*(1+D26))</f>
        <v>1.155625</v>
      </c>
      <c r="E27" s="199">
        <f>IF('Base Model'!ModelYear&gt;'Base Model'!EXP_CAP,"",(1+C26)*(1+D26)*(1+E26))</f>
        <v>1.242296875</v>
      </c>
      <c r="F27" s="199">
        <f>IF('Base Model'!ModelYear&gt;'Base Model'!EXP_CAP,"",(1+C26)*(1+D26)*(1+E26)*(1+F26))</f>
        <v>1.344786367</v>
      </c>
      <c r="G27" s="199">
        <f>IF('Base Model'!ModelYear&gt;'Base Model'!EXP_CAP,"",(1+C26)*(1+D26)*(1+E26)*(1+F26)*(1+G26))</f>
        <v>1.46581714</v>
      </c>
      <c r="H27" s="199">
        <f>IF('Base Model'!ModelYear&gt;'Base Model'!EXP_CAP,"",(1+C26)*(1+D26)*(1+E26)*(1+F26)*(1+G26)*(1+H26))</f>
        <v>1.608734311</v>
      </c>
      <c r="I27" s="199" t="str">
        <f>IF('Base Model'!ModelYear&gt;'Base Model'!EXP_CAP,"",(1+C26)*(1+D26)*(1+E26)*(1+F26)*(1+G26)*(1+H26)*(1+I26))</f>
        <v/>
      </c>
      <c r="J27" s="199" t="str">
        <f>IF('Base Model'!ModelYear&gt;'Base Model'!EXP_CAP,"",(1+C26)*(1+D26)*(1+E26)*(1+F26)*(1+G26)*(1+H26)*(1+I26)*(1+J26))</f>
        <v/>
      </c>
      <c r="K27" s="199" t="str">
        <f>IF('Base Model'!ModelYear&gt;'Base Model'!EXP_CAP,"",(1+C26)*(1+D26)*(1+E26)*(1+F26)*(1+G26)*(1+H26)*(1+I26)*(1+J26)*(1+K26))</f>
        <v/>
      </c>
      <c r="L27" s="199" t="str">
        <f>IF('Base Model'!ModelYear&gt;'Base Model'!EXP_CAP,"",(1+C26)*(1+D26)*(1+E26)*(1+F26)*(1+G26)*(1+H26)*(1+I26)*(1+J26)*(1+K26)*(1+L26))</f>
        <v/>
      </c>
      <c r="M27" s="95"/>
    </row>
    <row r="28" ht="15.75" customHeight="1">
      <c r="A28" s="206" t="s">
        <v>259</v>
      </c>
      <c r="B28" s="207"/>
      <c r="C28" s="203">
        <f>IF('Base Model'!ModelYear&gt;'Base Model'!EXP_CAP,"",'Base Model'!Model_FCFF/C27)</f>
        <v>1722.54949</v>
      </c>
      <c r="D28" s="203">
        <f>IF('Base Model'!ModelYear&gt;'Base Model'!EXP_CAP,"",'Base Model'!Model_FCFF/D27)</f>
        <v>1667.80272</v>
      </c>
      <c r="E28" s="203">
        <f>IF('Base Model'!ModelYear&gt;'Base Model'!EXP_CAP,"",'Base Model'!Model_FCFF/E27)</f>
        <v>1879.680531</v>
      </c>
      <c r="F28" s="203">
        <f>IF('Base Model'!ModelYear&gt;'Base Model'!EXP_CAP,"",'Base Model'!Model_FCFF/F27)</f>
        <v>2072.922823</v>
      </c>
      <c r="G28" s="203">
        <f>IF('Base Model'!ModelYear&gt;'Base Model'!EXP_CAP,"",'Base Model'!Model_FCFF/G27)</f>
        <v>2213.114597</v>
      </c>
      <c r="H28" s="203">
        <f>IF('Base Model'!ModelYear&gt;'Base Model'!EXP_CAP,"",'Base Model'!Model_FCFF/H27)</f>
        <v>2646.993019</v>
      </c>
      <c r="I28" s="203" t="str">
        <f>IF('Base Model'!ModelYear&gt;'Base Model'!EXP_CAP,"",'Base Model'!Model_FCFF/I27)</f>
        <v/>
      </c>
      <c r="J28" s="203" t="str">
        <f>IF('Base Model'!ModelYear&gt;'Base Model'!EXP_CAP,"",'Base Model'!Model_FCFF/J27)</f>
        <v/>
      </c>
      <c r="K28" s="203" t="str">
        <f>IF('Base Model'!ModelYear&gt;'Base Model'!EXP_CAP,"",'Base Model'!Model_FCFF/K27)</f>
        <v/>
      </c>
      <c r="L28" s="203" t="str">
        <f>IF('Base Model'!ModelYear&gt;'Base Model'!EXP_CAP,"",'Base Model'!Model_FCFF/L27)</f>
        <v/>
      </c>
      <c r="M28" s="95"/>
    </row>
    <row r="29" ht="15.75" customHeight="1"/>
    <row r="30" ht="15.75" customHeight="1">
      <c r="A30" s="115" t="s">
        <v>260</v>
      </c>
      <c r="C30" s="65" t="s">
        <v>261</v>
      </c>
      <c r="D30" s="65" t="s">
        <v>262</v>
      </c>
    </row>
    <row r="31" ht="15.75" customHeight="1">
      <c r="A31" s="208" t="s">
        <v>263</v>
      </c>
      <c r="C31" s="171">
        <f>D31/D34</f>
        <v>0.2644511662</v>
      </c>
      <c r="D31" s="172">
        <f>SUM(C28:L28)</f>
        <v>12203.06318</v>
      </c>
    </row>
    <row r="32" ht="15.75" customHeight="1">
      <c r="A32" s="208" t="s">
        <v>264</v>
      </c>
      <c r="C32" s="171">
        <f>1-C31</f>
        <v>0.7355488338</v>
      </c>
      <c r="D32" s="172">
        <f>M25/('Base Model'!Terminal_Wacc-'Base Model'!Terminal_EbitGrowth)/IF('Base Model'!EXP_CAP=0,1,INDIRECT(ADDRESS(ROW(A27),'Base Model'!EXP_CAP+2)))</f>
        <v>30342.97113</v>
      </c>
    </row>
    <row r="33" ht="15.75" customHeight="1">
      <c r="A33" s="208" t="s">
        <v>265</v>
      </c>
      <c r="D33" s="172">
        <f>if(Data!D52="Yes",Data!D54,Data!D55)+Data!T6</f>
        <v>3598.83</v>
      </c>
    </row>
    <row r="34" ht="15.75" customHeight="1">
      <c r="A34" s="65" t="s">
        <v>266</v>
      </c>
      <c r="D34" s="203">
        <f>D31+D32+D33</f>
        <v>46144.86431</v>
      </c>
      <c r="E34" s="209"/>
    </row>
    <row r="35" ht="15.75" customHeight="1"/>
    <row r="36" ht="15.75" customHeight="1">
      <c r="A36" s="65" t="s">
        <v>267</v>
      </c>
      <c r="D36" s="172">
        <f>Data!D48</f>
        <v>641.2</v>
      </c>
    </row>
    <row r="37" ht="15.75" customHeight="1">
      <c r="A37" s="65" t="s">
        <v>268</v>
      </c>
      <c r="D37" s="210">
        <f>D34-D36</f>
        <v>45503.66431</v>
      </c>
      <c r="E37" s="38"/>
    </row>
    <row r="38" ht="15.75" customHeight="1">
      <c r="A38" s="65" t="s">
        <v>269</v>
      </c>
      <c r="D38" s="172">
        <f>Data!F58</f>
        <v>43.56</v>
      </c>
    </row>
    <row r="39" ht="15.75" customHeight="1">
      <c r="A39" s="65" t="s">
        <v>270</v>
      </c>
      <c r="D39" s="172">
        <f>Data!D49</f>
        <v>0</v>
      </c>
    </row>
    <row r="40" ht="15.75" customHeight="1">
      <c r="A40" s="65" t="s">
        <v>271</v>
      </c>
      <c r="D40" s="210">
        <f>D37-D38-D39</f>
        <v>45460.10431</v>
      </c>
      <c r="E40" s="38"/>
      <c r="F40" s="211" t="str">
        <f>Dashboard!C11</f>
        <v>CNY</v>
      </c>
    </row>
    <row r="41" ht="15.75" customHeight="1">
      <c r="A41" s="65" t="s">
        <v>272</v>
      </c>
      <c r="E41" s="212">
        <f>price_pershare(D40,Data!F2,Cs_Shares,Dashboard!C12)</f>
        <v>34.82572187</v>
      </c>
      <c r="F41" s="213" t="str">
        <f>Dashboard!D6</f>
        <v>CNY</v>
      </c>
    </row>
    <row r="42" ht="15.75" customHeight="1"/>
    <row r="43" ht="15.75" customHeight="1">
      <c r="A43" s="115" t="s">
        <v>273</v>
      </c>
      <c r="B43" s="65" t="s">
        <v>274</v>
      </c>
      <c r="D43" s="164" t="str">
        <f>F41</f>
        <v>CNY</v>
      </c>
      <c r="E43" s="164">
        <f>Dashboard!C6</f>
        <v>41.76</v>
      </c>
      <c r="F43" s="65" t="s">
        <v>275</v>
      </c>
      <c r="G43" s="214">
        <f>E43/E41-1</f>
        <v>0.1991136939</v>
      </c>
      <c r="H43" s="65" t="str">
        <f>IF(G43&lt;0,"undervalued","overvalued") &amp; " by the market."</f>
        <v>overvalued by the market.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">
    <mergeCell ref="D38:E38"/>
    <mergeCell ref="D39:E39"/>
    <mergeCell ref="D40:E40"/>
    <mergeCell ref="A1:C1"/>
    <mergeCell ref="D31:E31"/>
    <mergeCell ref="D32:E32"/>
    <mergeCell ref="D33:E33"/>
    <mergeCell ref="D34:E34"/>
    <mergeCell ref="D36:E36"/>
    <mergeCell ref="D37:E37"/>
  </mergeCells>
  <dataValidations>
    <dataValidation type="list" allowBlank="1" sqref="B2">
      <formula1>"Base Case,Bear Case,Bull Case"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6.88"/>
    <col customWidth="1" min="2" max="6" width="12.63"/>
  </cols>
  <sheetData>
    <row r="1" ht="15.75" customHeight="1">
      <c r="A1" s="87" t="s">
        <v>235</v>
      </c>
    </row>
    <row r="2" ht="15.75" customHeight="1">
      <c r="A2" s="115" t="s">
        <v>236</v>
      </c>
      <c r="B2" s="215" t="s">
        <v>42</v>
      </c>
    </row>
    <row r="3" ht="15.75" customHeight="1">
      <c r="A3" s="163" t="s">
        <v>237</v>
      </c>
      <c r="D3" s="163" t="s">
        <v>238</v>
      </c>
      <c r="H3" s="163" t="s">
        <v>239</v>
      </c>
    </row>
    <row r="4" ht="15.75" customHeight="1">
      <c r="A4" s="65" t="s">
        <v>240</v>
      </c>
      <c r="B4" s="100">
        <f>IF(Data!D41="No Adjustment",Data!D43,if(Data!D41="Direct Input",Data!D45,Data!D44))</f>
        <v>0.3746957532</v>
      </c>
      <c r="D4" s="65" t="s">
        <v>25</v>
      </c>
      <c r="F4" s="100">
        <f>Dashboard!G36</f>
        <v>0.03</v>
      </c>
      <c r="H4" s="65" t="s">
        <v>24</v>
      </c>
      <c r="J4" s="164">
        <f>IF(B2="Base Case",Dashboard!E34,IF(B2="Bear Case",Dashboard!D34,Dashboard!F34))</f>
        <v>8</v>
      </c>
    </row>
    <row r="5" ht="15.75" customHeight="1">
      <c r="A5" s="65" t="s">
        <v>241</v>
      </c>
      <c r="B5" s="165">
        <f>Dashboard!H11</f>
        <v>0.075</v>
      </c>
      <c r="D5" s="65" t="s">
        <v>241</v>
      </c>
      <c r="F5" s="165">
        <f>Dashboard!H12</f>
        <v>0.0975</v>
      </c>
      <c r="H5" s="116" t="s">
        <v>242</v>
      </c>
      <c r="J5" s="166">
        <f>_xlfn.FLOOR.MATH((J4/2))</f>
        <v>4</v>
      </c>
    </row>
    <row r="6" ht="15.75" customHeight="1"/>
    <row r="7" ht="15.75" customHeight="1">
      <c r="A7" s="115" t="s">
        <v>243</v>
      </c>
      <c r="B7" s="65" t="s">
        <v>244</v>
      </c>
    </row>
    <row r="8" ht="15.75" customHeight="1">
      <c r="A8" s="167" t="str">
        <f>"(Numbers in "&amp;Data!F2&amp;Dashboard!C11&amp;")"</f>
        <v>(Numbers in 1000000CNY)</v>
      </c>
      <c r="B8" s="168" t="str">
        <f>Data!B6</f>
        <v>FY 2021</v>
      </c>
      <c r="C8" s="168">
        <v>1.0</v>
      </c>
      <c r="D8" s="168">
        <v>2.0</v>
      </c>
      <c r="E8" s="168">
        <v>3.0</v>
      </c>
      <c r="F8" s="168">
        <v>4.0</v>
      </c>
      <c r="G8" s="168">
        <v>5.0</v>
      </c>
      <c r="H8" s="168">
        <v>6.0</v>
      </c>
      <c r="I8" s="168">
        <v>7.0</v>
      </c>
      <c r="J8" s="168">
        <v>8.0</v>
      </c>
      <c r="K8" s="168">
        <v>9.0</v>
      </c>
      <c r="L8" s="168">
        <v>10.0</v>
      </c>
      <c r="M8" s="168" t="s">
        <v>245</v>
      </c>
    </row>
    <row r="9" ht="15.75" customHeight="1">
      <c r="A9" s="169" t="s">
        <v>161</v>
      </c>
      <c r="B9" s="170">
        <f>IF(Data!D66="No",Data!C87,Data!D87)</f>
        <v>7403.532</v>
      </c>
      <c r="C9" s="170">
        <f>IF('Bull Model'!ModelYear&gt;'Bull Model'!EXP_CAP,"",B9+B23)</f>
        <v>8439.95</v>
      </c>
      <c r="D9" s="170">
        <f>IF('Bull Model'!ModelYear&gt;'Bull Model'!EXP_CAP,"",C9+C23)</f>
        <v>9064.205279</v>
      </c>
      <c r="E9" s="170">
        <f>IF('Bull Model'!ModelYear&gt;'Bull Model'!EXP_CAP,"",D9+D23)</f>
        <v>10373.5074</v>
      </c>
      <c r="F9" s="170">
        <f>IF('Bull Model'!ModelYear&gt;'Bull Model'!EXP_CAP,"",E9+E23)</f>
        <v>11776.52314</v>
      </c>
      <c r="G9" s="170">
        <f>IF('Bull Model'!ModelYear&gt;'Bull Model'!EXP_CAP,"",F9+F23)</f>
        <v>13197.01347</v>
      </c>
      <c r="H9" s="170">
        <f>IF('Bull Model'!ModelYear&gt;'Bull Model'!EXP_CAP,"",G9+G23)</f>
        <v>14653.88835</v>
      </c>
      <c r="I9" s="170">
        <f>IF('Bull Model'!ModelYear&gt;'Bull Model'!EXP_CAP,"",H9+H23)</f>
        <v>16173.15164</v>
      </c>
      <c r="J9" s="170">
        <f>IF('Bull Model'!ModelYear&gt;'Bull Model'!EXP_CAP,"",I9+I23)</f>
        <v>17782.28355</v>
      </c>
      <c r="K9" s="170" t="str">
        <f>IF('Bull Model'!ModelYear&gt;'Bull Model'!EXP_CAP,"",J9+J23)</f>
        <v/>
      </c>
      <c r="L9" s="170" t="str">
        <f>IF('Bull Model'!ModelYear&gt;'Bull Model'!EXP_CAP,"",K9+K23)</f>
        <v/>
      </c>
      <c r="M9" s="56"/>
    </row>
    <row r="10" ht="15.75" customHeight="1">
      <c r="A10" s="169" t="s">
        <v>246</v>
      </c>
      <c r="B10" s="56"/>
      <c r="C10" s="171">
        <f>IF('Bull Model'!ModelYear&gt;'Bull Model'!EXP_CAP,"",C11/B11-1)</f>
        <v>0.005946483661</v>
      </c>
      <c r="D10" s="171">
        <f>IF('Bull Model'!ModelYear&gt;'Bull Model'!EXP_CAP,"",D11/C11-1)</f>
        <v>0.2192080685</v>
      </c>
      <c r="E10" s="171">
        <f>IF('Bull Model'!ModelYear&gt;'Bull Model'!EXP_CAP,"",E11/D11-1)</f>
        <v>0.2143268418</v>
      </c>
      <c r="F10" s="171">
        <f>IF('Bull Model'!ModelYear&gt;'Bull Model'!EXP_CAP,"",F11/E11-1)</f>
        <v>0.1892197668</v>
      </c>
      <c r="G10" s="171">
        <f>IF('Bull Model'!ModelYear&gt;'Bull Model'!EXP_CAP,"",G11/F11-1)</f>
        <v>0.1720837333</v>
      </c>
      <c r="H10" s="171">
        <f>IF('Bull Model'!ModelYear&gt;'Bull Model'!EXP_CAP,"",H11/G11-1)</f>
        <v>0.160872397</v>
      </c>
      <c r="I10" s="171">
        <f>IF('Bull Model'!ModelYear&gt;'Bull Model'!EXP_CAP,"",I11/H11-1)</f>
        <v>0.1534858095</v>
      </c>
      <c r="J10" s="171">
        <f>IF('Bull Model'!ModelYear&gt;'Bull Model'!EXP_CAP,"",J11/I11-1)</f>
        <v>0.1488109125</v>
      </c>
      <c r="K10" s="171" t="str">
        <f>IF('Bull Model'!ModelYear&gt;'Bull Model'!EXP_CAP,"",K11/J11-1)</f>
        <v/>
      </c>
      <c r="L10" s="171" t="str">
        <f>IF('Bull Model'!ModelYear&gt;'Bull Model'!EXP_CAP,"",L11/K11-1)</f>
        <v/>
      </c>
      <c r="M10" s="171">
        <f>M11/INDIRECT(ADDRESS(ROW(A11),'Bull Model'!EXP_CAP+2))-1</f>
        <v>0.03</v>
      </c>
    </row>
    <row r="11" ht="15.75" customHeight="1">
      <c r="A11" s="65" t="s">
        <v>247</v>
      </c>
      <c r="B11" s="172">
        <f>Data!C6</f>
        <v>9309.22</v>
      </c>
      <c r="C11" s="172">
        <f>IF('Bull Model'!ModelYear&gt;'Bull Model'!EXP_CAP,"",C16/C12)</f>
        <v>9364.577125</v>
      </c>
      <c r="D11" s="172">
        <f>IF('Bull Model'!ModelYear&gt;'Bull Model'!EXP_CAP,"",D16/D12)</f>
        <v>11417.36799</v>
      </c>
      <c r="E11" s="172">
        <f>IF('Bull Model'!ModelYear&gt;'Bull Model'!EXP_CAP,"",E16/E12)</f>
        <v>13864.41641</v>
      </c>
      <c r="F11" s="172">
        <f>IF('Bull Model'!ModelYear&gt;'Bull Model'!EXP_CAP,"",F16/F12)</f>
        <v>16487.83805</v>
      </c>
      <c r="G11" s="172">
        <f>IF('Bull Model'!ModelYear&gt;'Bull Model'!EXP_CAP,"",G16/G12)</f>
        <v>19325.12678</v>
      </c>
      <c r="H11" s="172">
        <f>IF('Bull Model'!ModelYear&gt;'Bull Model'!EXP_CAP,"",H16/H12)</f>
        <v>22434.00625</v>
      </c>
      <c r="I11" s="172">
        <f>IF('Bull Model'!ModelYear&gt;'Bull Model'!EXP_CAP,"",I16/I12)</f>
        <v>25877.30786</v>
      </c>
      <c r="J11" s="172">
        <f>IF('Bull Model'!ModelYear&gt;'Bull Model'!EXP_CAP,"",J16/J12)</f>
        <v>29728.13365</v>
      </c>
      <c r="K11" s="172" t="str">
        <f>IF('Bull Model'!ModelYear&gt;'Bull Model'!EXP_CAP,"",K16/K12)</f>
        <v/>
      </c>
      <c r="L11" s="172" t="str">
        <f>IF('Bull Model'!ModelYear&gt;'Bull Model'!EXP_CAP,"",L16/L12)</f>
        <v/>
      </c>
      <c r="M11" s="172">
        <f>M16/M12</f>
        <v>30619.97766</v>
      </c>
    </row>
    <row r="12" ht="15.75" customHeight="1">
      <c r="A12" s="173" t="s">
        <v>248</v>
      </c>
      <c r="B12" s="171">
        <f>B16/B11</f>
        <v>0.3771656487</v>
      </c>
      <c r="C12" s="174">
        <f>average(Data!F6:F8)</f>
        <v>0.3158735911</v>
      </c>
      <c r="D12" s="175">
        <f t="shared" ref="D12:J12" si="1">C12</f>
        <v>0.3158735911</v>
      </c>
      <c r="E12" s="175">
        <f t="shared" si="1"/>
        <v>0.3158735911</v>
      </c>
      <c r="F12" s="175">
        <f t="shared" si="1"/>
        <v>0.3158735911</v>
      </c>
      <c r="G12" s="175">
        <f t="shared" si="1"/>
        <v>0.3158735911</v>
      </c>
      <c r="H12" s="175">
        <f t="shared" si="1"/>
        <v>0.3158735911</v>
      </c>
      <c r="I12" s="175">
        <f t="shared" si="1"/>
        <v>0.3158735911</v>
      </c>
      <c r="J12" s="175">
        <f t="shared" si="1"/>
        <v>0.3158735911</v>
      </c>
      <c r="K12" s="175"/>
      <c r="L12" s="175"/>
      <c r="M12" s="175">
        <f>D12</f>
        <v>0.3158735911</v>
      </c>
    </row>
    <row r="13" ht="15.75" customHeight="1">
      <c r="A13" s="169" t="s">
        <v>249</v>
      </c>
      <c r="B13" s="176"/>
      <c r="C13" s="177">
        <v>0.335</v>
      </c>
      <c r="D13" s="177">
        <v>0.35</v>
      </c>
      <c r="E13" s="177">
        <v>0.36</v>
      </c>
      <c r="F13" s="177">
        <v>0.37</v>
      </c>
      <c r="G13" s="177">
        <v>0.38</v>
      </c>
      <c r="H13" s="177">
        <v>0.39</v>
      </c>
      <c r="I13" s="177">
        <v>0.4</v>
      </c>
      <c r="J13" s="177">
        <v>0.41</v>
      </c>
      <c r="K13" s="178"/>
      <c r="L13" s="178"/>
      <c r="M13" s="119"/>
    </row>
    <row r="14" ht="15.75" customHeight="1">
      <c r="A14" s="169" t="s">
        <v>250</v>
      </c>
      <c r="B14" s="173"/>
      <c r="C14" s="177">
        <v>0.335</v>
      </c>
      <c r="D14" s="177">
        <v>0.35</v>
      </c>
      <c r="E14" s="177">
        <v>0.36</v>
      </c>
      <c r="F14" s="177">
        <v>0.37</v>
      </c>
      <c r="G14" s="177">
        <v>0.38</v>
      </c>
      <c r="H14" s="177">
        <v>0.39</v>
      </c>
      <c r="I14" s="177">
        <v>0.4</v>
      </c>
      <c r="J14" s="177">
        <v>0.41</v>
      </c>
      <c r="K14" s="178"/>
      <c r="L14" s="178"/>
      <c r="M14" s="119"/>
    </row>
    <row r="15" ht="15.75" customHeight="1">
      <c r="A15" s="179" t="s">
        <v>251</v>
      </c>
      <c r="B15" s="180"/>
      <c r="C15" s="181">
        <f>IF('Bull Model'!ModelYear&gt;'Bull Model'!EXP_CAP,"",C13*B24+(C14-B19)/C14)</f>
        <v>-0.1575268602</v>
      </c>
      <c r="D15" s="181">
        <f>IF('Bull Model'!ModelYear&gt;'Bull Model'!EXP_CAP,"",D13*C24+(D14-C19)/D14)</f>
        <v>0.2192080685</v>
      </c>
      <c r="E15" s="181">
        <f>IF('Bull Model'!ModelYear&gt;'Bull Model'!EXP_CAP,"",E13*D24+(E14-D19)/E14)</f>
        <v>0.2143268418</v>
      </c>
      <c r="F15" s="181">
        <f>IF('Bull Model'!ModelYear&gt;'Bull Model'!EXP_CAP,"",F13*E24+(F14-E19)/F14)</f>
        <v>0.1892197668</v>
      </c>
      <c r="G15" s="181">
        <f>IF('Bull Model'!ModelYear&gt;'Bull Model'!EXP_CAP,"",G13*F24+(G14-F19)/G14)</f>
        <v>0.1720837333</v>
      </c>
      <c r="H15" s="181">
        <f>IF('Bull Model'!ModelYear&gt;'Bull Model'!EXP_CAP,"",H13*G24+(H14-G19)/H14)</f>
        <v>0.160872397</v>
      </c>
      <c r="I15" s="181">
        <f>IF('Bull Model'!ModelYear&gt;'Bull Model'!EXP_CAP,"",I13*H24+(I14-H19)/I14)</f>
        <v>0.1534858095</v>
      </c>
      <c r="J15" s="181">
        <f>IF('Bull Model'!ModelYear&gt;'Bull Model'!EXP_CAP,"",J13*I24+(J14-I19)/J14)</f>
        <v>0.1488109125</v>
      </c>
      <c r="K15" s="181" t="str">
        <f>IF('Bull Model'!ModelYear&gt;'Bull Model'!EXP_CAP,"",K13*J24+(K14-J19)/K14)</f>
        <v/>
      </c>
      <c r="L15" s="181" t="str">
        <f>IF('Bull Model'!ModelYear&gt;'Bull Model'!EXP_CAP,"",L13*K24+(L14-K19)/L14)</f>
        <v/>
      </c>
      <c r="M15" s="181">
        <f>'Bull Model'!Terminal_EbitGrowth</f>
        <v>0.03</v>
      </c>
    </row>
    <row r="16" ht="15.75" customHeight="1">
      <c r="A16" s="65" t="s">
        <v>252</v>
      </c>
      <c r="B16" s="172">
        <f>IF(Data!D66="No",Data!C83,Data!D83)</f>
        <v>3511.118</v>
      </c>
      <c r="C16" s="172">
        <f>IF('Bull Model'!ModelYear&gt;'Bull Model'!EXP_CAP,"",B16*(1+'Bull Model'!Model_EbitGrowth))</f>
        <v>2958.022606</v>
      </c>
      <c r="D16" s="172">
        <f>IF('Bull Model'!ModelYear&gt;'Bull Model'!EXP_CAP,"",C16*(1+'Bull Model'!Model_EbitGrowth))</f>
        <v>3606.445028</v>
      </c>
      <c r="E16" s="172">
        <f>IF('Bull Model'!ModelYear&gt;'Bull Model'!EXP_CAP,"",D16*(1+'Bull Model'!Model_EbitGrowth))</f>
        <v>4379.403001</v>
      </c>
      <c r="F16" s="172">
        <f>IF('Bull Model'!ModelYear&gt;'Bull Model'!EXP_CAP,"",E16*(1+'Bull Model'!Model_EbitGrowth))</f>
        <v>5208.072615</v>
      </c>
      <c r="G16" s="172">
        <f>IF('Bull Model'!ModelYear&gt;'Bull Model'!EXP_CAP,"",F16*(1+'Bull Model'!Model_EbitGrowth))</f>
        <v>6104.297194</v>
      </c>
      <c r="H16" s="172">
        <f>IF('Bull Model'!ModelYear&gt;'Bull Model'!EXP_CAP,"",G16*(1+'Bull Model'!Model_EbitGrowth))</f>
        <v>7086.310116</v>
      </c>
      <c r="I16" s="172">
        <f>IF('Bull Model'!ModelYear&gt;'Bull Model'!EXP_CAP,"",H16*(1+'Bull Model'!Model_EbitGrowth))</f>
        <v>8173.958161</v>
      </c>
      <c r="J16" s="172">
        <f>IF('Bull Model'!ModelYear&gt;'Bull Model'!EXP_CAP,"",I16*(1+'Bull Model'!Model_EbitGrowth))</f>
        <v>9390.332334</v>
      </c>
      <c r="K16" s="172" t="str">
        <f>IF('Bull Model'!ModelYear&gt;'Bull Model'!EXP_CAP,"",J16*(1+'Bull Model'!Model_EbitGrowth))</f>
        <v/>
      </c>
      <c r="L16" s="172" t="str">
        <f>IF('Bull Model'!ModelYear&gt;'Bull Model'!EXP_CAP,"",K16*(1+'Bull Model'!Model_EbitGrowth))</f>
        <v/>
      </c>
      <c r="M16" s="172">
        <f>INDIRECT(ADDRESS(ROW(A16),'Bull Model'!EXP_CAP+2))*(1+'Bull Model'!Terminal_EbitGrowth)</f>
        <v>9672.042304</v>
      </c>
    </row>
    <row r="17" ht="15.75" customHeight="1">
      <c r="A17" s="169" t="s">
        <v>253</v>
      </c>
      <c r="B17" s="171">
        <f>Data!F29</f>
        <v>0.120348854</v>
      </c>
      <c r="C17" s="174">
        <v>0.135</v>
      </c>
      <c r="D17" s="174">
        <v>0.15</v>
      </c>
      <c r="E17" s="174">
        <v>0.165</v>
      </c>
      <c r="F17" s="174">
        <v>0.18</v>
      </c>
      <c r="G17" s="174">
        <v>0.195</v>
      </c>
      <c r="H17" s="174">
        <v>0.21</v>
      </c>
      <c r="I17" s="174">
        <v>0.225</v>
      </c>
      <c r="J17" s="174">
        <v>0.24</v>
      </c>
      <c r="K17" s="175"/>
      <c r="L17" s="175"/>
      <c r="M17" s="171">
        <f>Data!D28</f>
        <v>0.25</v>
      </c>
    </row>
    <row r="18" ht="15.75" customHeight="1">
      <c r="A18" s="182" t="s">
        <v>147</v>
      </c>
      <c r="B18" s="183">
        <f>IF(Data!D66="No",Data!C85,Data!D85)</f>
        <v>3144.709897</v>
      </c>
      <c r="C18" s="183">
        <f>IF('Bull Model'!ModelYear&gt;'Bull Model'!EXP_CAP,"",C16*(1-C17))</f>
        <v>2558.689554</v>
      </c>
      <c r="D18" s="183">
        <f>IF('Bull Model'!ModelYear&gt;'Bull Model'!EXP_CAP,"",D16*(1-D17))</f>
        <v>3065.478274</v>
      </c>
      <c r="E18" s="183">
        <f>IF('Bull Model'!ModelYear&gt;'Bull Model'!EXP_CAP,"",E16*(1-E17))</f>
        <v>3656.801506</v>
      </c>
      <c r="F18" s="183">
        <f>IF('Bull Model'!ModelYear&gt;'Bull Model'!EXP_CAP,"",F16*(1-F17))</f>
        <v>4270.619545</v>
      </c>
      <c r="G18" s="183">
        <f>IF('Bull Model'!ModelYear&gt;'Bull Model'!EXP_CAP,"",G16*(1-G17))</f>
        <v>4913.959241</v>
      </c>
      <c r="H18" s="183">
        <f>IF('Bull Model'!ModelYear&gt;'Bull Model'!EXP_CAP,"",H16*(1-H17))</f>
        <v>5598.184992</v>
      </c>
      <c r="I18" s="183">
        <f>IF('Bull Model'!ModelYear&gt;'Bull Model'!EXP_CAP,"",I16*(1-I17))</f>
        <v>6334.817575</v>
      </c>
      <c r="J18" s="183">
        <f>IF('Bull Model'!ModelYear&gt;'Bull Model'!EXP_CAP,"",J16*(1-J17))</f>
        <v>7136.652574</v>
      </c>
      <c r="K18" s="183" t="str">
        <f>IF('Bull Model'!ModelYear&gt;'Bull Model'!EXP_CAP,"",K16*(1-K17))</f>
        <v/>
      </c>
      <c r="L18" s="183" t="str">
        <f>IF('Bull Model'!ModelYear&gt;'Bull Model'!EXP_CAP,"",L16*(1-L17))</f>
        <v/>
      </c>
      <c r="M18" s="183">
        <f>M16*(1-M17)</f>
        <v>7254.031728</v>
      </c>
    </row>
    <row r="19" ht="15.75" customHeight="1">
      <c r="A19" s="173" t="s">
        <v>254</v>
      </c>
      <c r="B19" s="171">
        <f>B18/B9</f>
        <v>0.424758061</v>
      </c>
      <c r="C19" s="171">
        <f>IF('Bull Model'!ModelYear&gt;'Bull Model'!EXP_CAP,"",C18/C9)</f>
        <v>0.3031640654</v>
      </c>
      <c r="D19" s="171">
        <f>IF('Bull Model'!ModelYear&gt;'Bull Model'!EXP_CAP,"",D18/D9)</f>
        <v>0.3381960336</v>
      </c>
      <c r="E19" s="171">
        <f>IF('Bull Model'!ModelYear&gt;'Bull Model'!EXP_CAP,"",E18/E9)</f>
        <v>0.3525135102</v>
      </c>
      <c r="F19" s="171">
        <f>IF('Bull Model'!ModelYear&gt;'Bull Model'!EXP_CAP,"",F18/F9)</f>
        <v>0.362638403</v>
      </c>
      <c r="G19" s="171">
        <f>IF('Bull Model'!ModelYear&gt;'Bull Model'!EXP_CAP,"",G18/G9)</f>
        <v>0.3723538855</v>
      </c>
      <c r="H19" s="171">
        <f>IF('Bull Model'!ModelYear&gt;'Bull Model'!EXP_CAP,"",H18/H9)</f>
        <v>0.3820272721</v>
      </c>
      <c r="I19" s="171">
        <f>IF('Bull Model'!ModelYear&gt;'Bull Model'!EXP_CAP,"",I18/I9)</f>
        <v>0.3916872676</v>
      </c>
      <c r="J19" s="171">
        <f>IF('Bull Model'!ModelYear&gt;'Bull Model'!EXP_CAP,"",J18/J9)</f>
        <v>0.401334989</v>
      </c>
      <c r="K19" s="171" t="str">
        <f>IF('Bull Model'!ModelYear&gt;'Bull Model'!EXP_CAP,"",K18/K9)</f>
        <v/>
      </c>
      <c r="L19" s="171" t="str">
        <f>IF('Bull Model'!ModelYear&gt;'Bull Model'!EXP_CAP,"",L18/L9)</f>
        <v/>
      </c>
      <c r="M19" s="171">
        <f>Dashboard!G37</f>
        <v>0.0975</v>
      </c>
    </row>
    <row r="20" ht="15.75" customHeight="1">
      <c r="A20" s="116" t="s">
        <v>234</v>
      </c>
      <c r="B20" s="184">
        <f>IF(Data!D66="No",Data!C92,Data!D92)</f>
        <v>568.558</v>
      </c>
      <c r="C20" s="185">
        <f>B20</f>
        <v>568.558</v>
      </c>
      <c r="D20" s="185">
        <f>C20*0.95</f>
        <v>540.1301</v>
      </c>
      <c r="E20" s="185">
        <f t="shared" ref="E20:I20" si="2">D20*0.9</f>
        <v>486.11709</v>
      </c>
      <c r="F20" s="185">
        <f t="shared" si="2"/>
        <v>437.505381</v>
      </c>
      <c r="G20" s="185">
        <f t="shared" si="2"/>
        <v>393.7548429</v>
      </c>
      <c r="H20" s="185">
        <f t="shared" si="2"/>
        <v>354.3793586</v>
      </c>
      <c r="I20" s="185">
        <f t="shared" si="2"/>
        <v>318.9414227</v>
      </c>
      <c r="J20" s="186"/>
      <c r="K20" s="186"/>
      <c r="L20" s="187" t="str">
        <f>IF('Bull Model'!ModelYear&gt;='Bull Model'!EXP_CAP,"",L11*#REF!)</f>
        <v/>
      </c>
      <c r="M20" s="187"/>
    </row>
    <row r="21" ht="15.75" customHeight="1">
      <c r="A21" s="169" t="s">
        <v>168</v>
      </c>
      <c r="B21" s="188">
        <f>Data!AC6</f>
        <v>3453.17</v>
      </c>
      <c r="C21" s="189">
        <f>IF('Bull Model'!ModelYear&gt;='Bull Model'!EXP_CAP,"",C11*$B$4)</f>
        <v>3508.867279</v>
      </c>
      <c r="D21" s="189">
        <f>IF('Bull Model'!ModelYear&gt;='Bull Model'!EXP_CAP,"",D11*$B$4)</f>
        <v>4278.039298</v>
      </c>
      <c r="E21" s="189">
        <f>IF('Bull Model'!ModelYear&gt;='Bull Model'!EXP_CAP,"",E11*$B$4)</f>
        <v>5194.93795</v>
      </c>
      <c r="F21" s="189">
        <f>IF('Bull Model'!ModelYear&gt;='Bull Model'!EXP_CAP,"",F11*$B$4)</f>
        <v>6177.922897</v>
      </c>
      <c r="G21" s="189">
        <f>IF('Bull Model'!ModelYear&gt;='Bull Model'!EXP_CAP,"",G11*$B$4)</f>
        <v>7241.042934</v>
      </c>
      <c r="H21" s="189">
        <f>IF('Bull Model'!ModelYear&gt;='Bull Model'!EXP_CAP,"",H11*$B$4)</f>
        <v>8405.926867</v>
      </c>
      <c r="I21" s="189">
        <f>IF('Bull Model'!ModelYear&gt;='Bull Model'!EXP_CAP,"",I11*$B$4)</f>
        <v>9696.117357</v>
      </c>
      <c r="J21" s="189" t="str">
        <f>IF('Bull Model'!ModelYear&gt;='Bull Model'!EXP_CAP,"",J11*$B$4)</f>
        <v/>
      </c>
      <c r="K21" s="189" t="str">
        <f>IF('Bull Model'!ModelYear&gt;='Bull Model'!EXP_CAP,"",K11*$B$4)</f>
        <v/>
      </c>
      <c r="L21" s="190" t="str">
        <f>IF('Bull Model'!ModelYear&gt;='Bull Model'!EXP_CAP,"",L11*$B$4)</f>
        <v/>
      </c>
      <c r="M21" s="191"/>
    </row>
    <row r="22" ht="15.75" customHeight="1">
      <c r="A22" s="192" t="s">
        <v>169</v>
      </c>
      <c r="B22" s="193">
        <f>Data!AD6</f>
        <v>467.86</v>
      </c>
      <c r="C22" s="194">
        <f>IF('Bull Model'!ModelYear&gt;='Bull Model'!EXP_CAP,"",C21-B21)</f>
        <v>55.69727906</v>
      </c>
      <c r="D22" s="194">
        <f>IF('Bull Model'!ModelYear&gt;='Bull Model'!EXP_CAP,"",D21-C21)</f>
        <v>769.1720189</v>
      </c>
      <c r="E22" s="194">
        <f>IF('Bull Model'!ModelYear&gt;='Bull Model'!EXP_CAP,"",E21-D21)</f>
        <v>916.898652</v>
      </c>
      <c r="F22" s="194">
        <f>IF('Bull Model'!ModelYear&gt;='Bull Model'!EXP_CAP,"",F21-E21)</f>
        <v>982.9849475</v>
      </c>
      <c r="G22" s="194">
        <f>IF('Bull Model'!ModelYear&gt;='Bull Model'!EXP_CAP,"",G21-F21)</f>
        <v>1063.120036</v>
      </c>
      <c r="H22" s="194">
        <f>IF('Bull Model'!ModelYear&gt;='Bull Model'!EXP_CAP,"",H21-G21)</f>
        <v>1164.883934</v>
      </c>
      <c r="I22" s="194">
        <f>IF('Bull Model'!ModelYear&gt;='Bull Model'!EXP_CAP,"",I21-H21)</f>
        <v>1290.19049</v>
      </c>
      <c r="J22" s="194" t="str">
        <f>IF('Bull Model'!ModelYear&gt;='Bull Model'!EXP_CAP,"",J21-I21)</f>
        <v/>
      </c>
      <c r="K22" s="194" t="str">
        <f>IF('Bull Model'!ModelYear&gt;='Bull Model'!EXP_CAP,"",K21-J21)</f>
        <v/>
      </c>
      <c r="L22" s="195" t="str">
        <f>IF('Bull Model'!ModelYear&gt;='Bull Model'!EXP_CAP,"",L21-K21)</f>
        <v/>
      </c>
      <c r="M22" s="195"/>
    </row>
    <row r="23" ht="15.75" customHeight="1">
      <c r="A23" s="196" t="s">
        <v>171</v>
      </c>
      <c r="B23" s="184">
        <f>B20+B22</f>
        <v>1036.418</v>
      </c>
      <c r="C23" s="172">
        <f t="shared" ref="C23:K23" si="3">IF(C22="","",C20+C22)</f>
        <v>624.2552791</v>
      </c>
      <c r="D23" s="172">
        <f t="shared" si="3"/>
        <v>1309.302119</v>
      </c>
      <c r="E23" s="172">
        <f t="shared" si="3"/>
        <v>1403.015742</v>
      </c>
      <c r="F23" s="172">
        <f t="shared" si="3"/>
        <v>1420.490329</v>
      </c>
      <c r="G23" s="172">
        <f t="shared" si="3"/>
        <v>1456.874879</v>
      </c>
      <c r="H23" s="172">
        <f t="shared" si="3"/>
        <v>1519.263292</v>
      </c>
      <c r="I23" s="172">
        <f t="shared" si="3"/>
        <v>1609.131913</v>
      </c>
      <c r="J23" s="172" t="str">
        <f t="shared" si="3"/>
        <v/>
      </c>
      <c r="K23" s="172" t="str">
        <f t="shared" si="3"/>
        <v/>
      </c>
      <c r="L23" s="187"/>
      <c r="M23" s="187"/>
    </row>
    <row r="24" ht="15.75" customHeight="1">
      <c r="A24" s="197" t="s">
        <v>255</v>
      </c>
      <c r="B24" s="171">
        <f>B23/B18</f>
        <v>0.329575075</v>
      </c>
      <c r="C24" s="198">
        <f>IF('Bull Model'!ModelYear&gt;'Bull Model'!EXP_CAP,"",IF(C22="",$M$15/C19,C23/C18))</f>
        <v>0.2439746073</v>
      </c>
      <c r="D24" s="198">
        <f>IF('Bull Model'!ModelYear&gt;'Bull Model'!EXP_CAP,"",IF(D22="",$M$15/D19,D23/D18))</f>
        <v>0.4271118573</v>
      </c>
      <c r="E24" s="198">
        <f>IF('Bull Model'!ModelYear&gt;'Bull Model'!EXP_CAP,"",IF(E22="",$M$15/E19,E23/E18))</f>
        <v>0.3836729283</v>
      </c>
      <c r="F24" s="198">
        <f>IF('Bull Model'!ModelYear&gt;'Bull Model'!EXP_CAP,"",IF(F22="",$M$15/F19,F23/F18))</f>
        <v>0.3326192637</v>
      </c>
      <c r="G24" s="198">
        <f>IF('Bull Model'!ModelYear&gt;'Bull Model'!EXP_CAP,"",IF(G22="",$M$15/G19,G23/G18))</f>
        <v>0.2964767935</v>
      </c>
      <c r="H24" s="198">
        <f>IF('Bull Model'!ModelYear&gt;'Bull Model'!EXP_CAP,"",IF(H22="",$M$15/H19,H23/H18))</f>
        <v>0.2713849747</v>
      </c>
      <c r="I24" s="198">
        <f>IF('Bull Model'!ModelYear&gt;'Bull Model'!EXP_CAP,"",IF(I22="",$M$15/I19,I23/I18))</f>
        <v>0.2540139308</v>
      </c>
      <c r="J24" s="198">
        <f>IF('Bull Model'!ModelYear&gt;'Bull Model'!EXP_CAP,"",IF(J22="",$M$15/J19,J23/J18))</f>
        <v>0.07475052219</v>
      </c>
      <c r="K24" s="198" t="str">
        <f>IF('Bull Model'!ModelYear&gt;'Bull Model'!EXP_CAP,"",IF(K22="",$M$15/K19,K23/K18))</f>
        <v/>
      </c>
      <c r="L24" s="119"/>
      <c r="M24" s="199">
        <f>M15/M19</f>
        <v>0.3076923077</v>
      </c>
    </row>
    <row r="25" ht="15.75" customHeight="1">
      <c r="A25" s="200" t="s">
        <v>256</v>
      </c>
      <c r="B25" s="201">
        <f>B18-(B20+B22)</f>
        <v>2108.291897</v>
      </c>
      <c r="C25" s="202">
        <f>IF('Bull Model'!ModelYear&gt;'Bull Model'!EXP_CAP,"",IF('Bull Model'!ModelYear='Bull Model'!EXP_CAP,'Bull Model'!Model_NOPAT*(1-C24),'Bull Model'!Model_NOPAT-C23))</f>
        <v>1934.434275</v>
      </c>
      <c r="D25" s="202">
        <f>IF('Bull Model'!ModelYear&gt;'Bull Model'!EXP_CAP,"",IF('Bull Model'!ModelYear='Bull Model'!EXP_CAP,'Bull Model'!Model_NOPAT*(1-D24),'Bull Model'!Model_NOPAT-D23))</f>
        <v>1756.176155</v>
      </c>
      <c r="E25" s="202">
        <f>IF('Bull Model'!ModelYear&gt;'Bull Model'!EXP_CAP,"",IF('Bull Model'!ModelYear='Bull Model'!EXP_CAP,'Bull Model'!Model_NOPAT*(1-E24),'Bull Model'!Model_NOPAT-E23))</f>
        <v>2253.785764</v>
      </c>
      <c r="F25" s="202">
        <f>IF('Bull Model'!ModelYear&gt;'Bull Model'!EXP_CAP,"",IF('Bull Model'!ModelYear='Bull Model'!EXP_CAP,'Bull Model'!Model_NOPAT*(1-F24),'Bull Model'!Model_NOPAT-F23))</f>
        <v>2850.129216</v>
      </c>
      <c r="G25" s="202">
        <f>IF('Bull Model'!ModelYear&gt;'Bull Model'!EXP_CAP,"",IF('Bull Model'!ModelYear='Bull Model'!EXP_CAP,'Bull Model'!Model_NOPAT*(1-G24),'Bull Model'!Model_NOPAT-G23))</f>
        <v>3457.084362</v>
      </c>
      <c r="H25" s="202">
        <f>IF('Bull Model'!ModelYear&gt;'Bull Model'!EXP_CAP,"",IF('Bull Model'!ModelYear='Bull Model'!EXP_CAP,'Bull Model'!Model_NOPAT*(1-H24),'Bull Model'!Model_NOPAT-H23))</f>
        <v>4078.9217</v>
      </c>
      <c r="I25" s="202">
        <f>IF('Bull Model'!ModelYear&gt;'Bull Model'!EXP_CAP,"",IF('Bull Model'!ModelYear='Bull Model'!EXP_CAP,'Bull Model'!Model_NOPAT*(1-I24),'Bull Model'!Model_NOPAT-I23))</f>
        <v>4725.685662</v>
      </c>
      <c r="J25" s="202">
        <f>IF('Bull Model'!ModelYear&gt;'Bull Model'!EXP_CAP,"",IF('Bull Model'!ModelYear='Bull Model'!EXP_CAP,'Bull Model'!Model_NOPAT*(1-J24),'Bull Model'!Model_NOPAT-J23))</f>
        <v>6603.184067</v>
      </c>
      <c r="K25" s="202" t="str">
        <f>IF('Bull Model'!ModelYear&gt;'Bull Model'!EXP_CAP,"",IF('Bull Model'!ModelYear='Bull Model'!EXP_CAP,'Bull Model'!Model_NOPAT*(1-K24),'Bull Model'!Model_NOPAT-K23))</f>
        <v/>
      </c>
      <c r="L25" s="202" t="str">
        <f>IF('Bull Model'!ModelYear&gt;'Bull Model'!EXP_CAP,"",IF('Bull Model'!ModelYear='Bull Model'!EXP_CAP,'Bull Model'!Model_NOPAT*(1-L24),'Bull Model'!Model_NOPAT-L23))</f>
        <v/>
      </c>
      <c r="M25" s="203">
        <f>M18*(1-M24)</f>
        <v>5022.021965</v>
      </c>
    </row>
    <row r="26" ht="15.75" customHeight="1">
      <c r="A26" s="169" t="s">
        <v>257</v>
      </c>
      <c r="B26" s="56"/>
      <c r="C26" s="171">
        <f>discount_rate('Bull Model'!EXP_Wacc,'Bull Model'!Terminal_Wacc,C8,'Bull Model'!EXP_CAP,$J5)</f>
        <v>0.075</v>
      </c>
      <c r="D26" s="171">
        <f>discount_rate('Bull Model'!EXP_Wacc,'Bull Model'!Terminal_Wacc,D8,'Bull Model'!EXP_CAP,$J5)</f>
        <v>0.075</v>
      </c>
      <c r="E26" s="171">
        <f>discount_rate('Bull Model'!EXP_Wacc,'Bull Model'!Terminal_Wacc,E8,'Bull Model'!EXP_CAP,$J5)</f>
        <v>0.075</v>
      </c>
      <c r="F26" s="171">
        <f>discount_rate('Bull Model'!EXP_Wacc,'Bull Model'!Terminal_Wacc,F8,'Bull Model'!EXP_CAP,$J5)</f>
        <v>0.075</v>
      </c>
      <c r="G26" s="171">
        <f>discount_rate('Bull Model'!EXP_Wacc,'Bull Model'!Terminal_Wacc,G8,'Bull Model'!EXP_CAP,$J5)</f>
        <v>0.080625</v>
      </c>
      <c r="H26" s="171">
        <f>discount_rate('Bull Model'!EXP_Wacc,'Bull Model'!Terminal_Wacc,H8,'Bull Model'!EXP_CAP,$J5)</f>
        <v>0.08625</v>
      </c>
      <c r="I26" s="171">
        <f>discount_rate('Bull Model'!EXP_Wacc,'Bull Model'!Terminal_Wacc,I8,'Bull Model'!EXP_CAP,$J5)</f>
        <v>0.091875</v>
      </c>
      <c r="J26" s="171">
        <f>discount_rate('Bull Model'!EXP_Wacc,'Bull Model'!Terminal_Wacc,J8,'Bull Model'!EXP_CAP,$J5)</f>
        <v>0.0975</v>
      </c>
      <c r="K26" s="171" t="str">
        <f>discount_rate('Bull Model'!EXP_Wacc,'Bull Model'!Terminal_Wacc,K8,'Bull Model'!EXP_CAP,$J5)</f>
        <v/>
      </c>
      <c r="L26" s="171" t="str">
        <f>discount_rate('Bull Model'!EXP_Wacc,'Bull Model'!Terminal_Wacc,L8,'Bull Model'!EXP_CAP,$J5)</f>
        <v/>
      </c>
      <c r="M26" s="171">
        <f>'Bull Model'!Terminal_Wacc</f>
        <v>0.0975</v>
      </c>
    </row>
    <row r="27" ht="15.75" customHeight="1">
      <c r="A27" s="204" t="s">
        <v>258</v>
      </c>
      <c r="B27" s="205"/>
      <c r="C27" s="199">
        <f>IF('Bull Model'!ModelYear&gt;'Bull Model'!EXP_CAP,"",1+C26)</f>
        <v>1.075</v>
      </c>
      <c r="D27" s="199">
        <f>IF('Bull Model'!ModelYear&gt;'Bull Model'!EXP_CAP,"",(1+C26)*(1+D26))</f>
        <v>1.155625</v>
      </c>
      <c r="E27" s="199">
        <f>IF('Bull Model'!ModelYear&gt;'Bull Model'!EXP_CAP,"",(1+C26)*(1+D26)*(1+E26))</f>
        <v>1.242296875</v>
      </c>
      <c r="F27" s="199">
        <f>IF('Bull Model'!ModelYear&gt;'Bull Model'!EXP_CAP,"",(1+C26)*(1+D26)*(1+E26)*(1+F26))</f>
        <v>1.335469141</v>
      </c>
      <c r="G27" s="199">
        <f>IF('Bull Model'!ModelYear&gt;'Bull Model'!EXP_CAP,"",(1+C26)*(1+D26)*(1+E26)*(1+F26)*(1+G26))</f>
        <v>1.44314134</v>
      </c>
      <c r="H27" s="199">
        <f>IF('Bull Model'!ModelYear&gt;'Bull Model'!EXP_CAP,"",(1+C26)*(1+D26)*(1+E26)*(1+F26)*(1+G26)*(1+H26))</f>
        <v>1.567612281</v>
      </c>
      <c r="I27" s="199">
        <f>IF('Bull Model'!ModelYear&gt;'Bull Model'!EXP_CAP,"",(1+C26)*(1+D26)*(1+E26)*(1+F26)*(1+G26)*(1+H26)*(1+I26))</f>
        <v>1.711636659</v>
      </c>
      <c r="J27" s="199">
        <f>IF('Bull Model'!ModelYear&gt;'Bull Model'!EXP_CAP,"",(1+C26)*(1+D26)*(1+E26)*(1+F26)*(1+G26)*(1+H26)*(1+I26)*(1+J26))</f>
        <v>1.878521233</v>
      </c>
      <c r="K27" s="199" t="str">
        <f>IF('Bull Model'!ModelYear&gt;'Bull Model'!EXP_CAP,"",(1+C26)*(1+D26)*(1+E26)*(1+F26)*(1+G26)*(1+H26)*(1+I26)*(1+J26)*(1+K26))</f>
        <v/>
      </c>
      <c r="L27" s="199" t="str">
        <f>IF('Bull Model'!ModelYear&gt;'Bull Model'!EXP_CAP,"",(1+C26)*(1+D26)*(1+E26)*(1+F26)*(1+G26)*(1+H26)*(1+I26)*(1+J26)*(1+K26)*(1+L26))</f>
        <v/>
      </c>
      <c r="M27" s="95"/>
    </row>
    <row r="28" ht="15.75" customHeight="1">
      <c r="A28" s="206" t="s">
        <v>259</v>
      </c>
      <c r="B28" s="207"/>
      <c r="C28" s="203">
        <f>IF('Bull Model'!ModelYear&gt;'Bull Model'!EXP_CAP,"",'Bull Model'!Model_FCFF/C27)</f>
        <v>1799.473744</v>
      </c>
      <c r="D28" s="203">
        <f>IF('Bull Model'!ModelYear&gt;'Bull Model'!EXP_CAP,"",'Bull Model'!Model_FCFF/D27)</f>
        <v>1519.676499</v>
      </c>
      <c r="E28" s="203">
        <f>IF('Bull Model'!ModelYear&gt;'Bull Model'!EXP_CAP,"",'Bull Model'!Model_FCFF/E27)</f>
        <v>1814.208672</v>
      </c>
      <c r="F28" s="203">
        <f>IF('Bull Model'!ModelYear&gt;'Bull Model'!EXP_CAP,"",'Bull Model'!Model_FCFF/F27)</f>
        <v>2134.178267</v>
      </c>
      <c r="G28" s="203">
        <f>IF('Bull Model'!ModelYear&gt;'Bull Model'!EXP_CAP,"",'Bull Model'!Model_FCFF/G27)</f>
        <v>2395.52722</v>
      </c>
      <c r="H28" s="203">
        <f>IF('Bull Model'!ModelYear&gt;'Bull Model'!EXP_CAP,"",'Bull Model'!Model_FCFF/H27)</f>
        <v>2601.99652</v>
      </c>
      <c r="I28" s="203">
        <f>IF('Bull Model'!ModelYear&gt;'Bull Model'!EXP_CAP,"",'Bull Model'!Model_FCFF/I27)</f>
        <v>2760.916364</v>
      </c>
      <c r="J28" s="203">
        <f>IF('Bull Model'!ModelYear&gt;'Bull Model'!EXP_CAP,"",'Bull Model'!Model_FCFF/J27)</f>
        <v>3515.096849</v>
      </c>
      <c r="K28" s="203" t="str">
        <f>IF('Bull Model'!ModelYear&gt;'Bull Model'!EXP_CAP,"",'Bull Model'!Model_FCFF/K27)</f>
        <v/>
      </c>
      <c r="L28" s="203" t="str">
        <f>IF('Bull Model'!ModelYear&gt;'Bull Model'!EXP_CAP,"",'Bull Model'!Model_FCFF/L27)</f>
        <v/>
      </c>
      <c r="M28" s="95"/>
    </row>
    <row r="29" ht="15.75" customHeight="1"/>
    <row r="30" ht="15.75" customHeight="1">
      <c r="A30" s="115" t="s">
        <v>260</v>
      </c>
      <c r="C30" s="65" t="s">
        <v>261</v>
      </c>
      <c r="D30" s="65" t="s">
        <v>262</v>
      </c>
    </row>
    <row r="31" ht="15.75" customHeight="1">
      <c r="A31" s="208" t="s">
        <v>263</v>
      </c>
      <c r="C31" s="171">
        <f>D31/D34</f>
        <v>0.3002812281</v>
      </c>
      <c r="D31" s="172">
        <f>SUM(C28:L28)</f>
        <v>18541.07414</v>
      </c>
    </row>
    <row r="32" ht="15.75" customHeight="1">
      <c r="A32" s="208" t="s">
        <v>264</v>
      </c>
      <c r="C32" s="171">
        <f>1-C31</f>
        <v>0.6997187719</v>
      </c>
      <c r="D32" s="172">
        <f>M25/('Bull Model'!Terminal_Wacc-'Bull Model'!Terminal_EbitGrowth)/IF('Bull Model'!EXP_CAP=0,1,INDIRECT(ADDRESS(ROW(A27),'Bull Model'!EXP_CAP+2)))</f>
        <v>39605.79423</v>
      </c>
    </row>
    <row r="33" ht="15.75" customHeight="1">
      <c r="A33" s="208" t="s">
        <v>265</v>
      </c>
      <c r="D33" s="172">
        <f>if(Data!D52="Yes",Data!D54,Data!D55)+Data!T6</f>
        <v>3598.83</v>
      </c>
    </row>
    <row r="34" ht="15.75" customHeight="1">
      <c r="A34" s="65" t="s">
        <v>266</v>
      </c>
      <c r="D34" s="203">
        <f>D31+D32+D33</f>
        <v>61745.69836</v>
      </c>
      <c r="E34" s="209"/>
    </row>
    <row r="35" ht="15.75" customHeight="1"/>
    <row r="36" ht="15.75" customHeight="1">
      <c r="A36" s="65" t="s">
        <v>267</v>
      </c>
      <c r="D36" s="172">
        <f>Data!D48</f>
        <v>641.2</v>
      </c>
    </row>
    <row r="37" ht="15.75" customHeight="1">
      <c r="A37" s="65" t="s">
        <v>268</v>
      </c>
      <c r="D37" s="210">
        <f>D34-D36</f>
        <v>61104.49836</v>
      </c>
      <c r="E37" s="38"/>
    </row>
    <row r="38" ht="15.75" customHeight="1">
      <c r="A38" s="65" t="s">
        <v>269</v>
      </c>
      <c r="D38" s="172">
        <f>Data!F58</f>
        <v>43.56</v>
      </c>
    </row>
    <row r="39" ht="15.75" customHeight="1">
      <c r="A39" s="65" t="s">
        <v>270</v>
      </c>
      <c r="D39" s="172">
        <f>Data!D49</f>
        <v>0</v>
      </c>
    </row>
    <row r="40" ht="15.75" customHeight="1">
      <c r="A40" s="65" t="s">
        <v>271</v>
      </c>
      <c r="D40" s="210">
        <f>D37-D38-D39</f>
        <v>61060.93836</v>
      </c>
      <c r="E40" s="38"/>
      <c r="F40" s="211" t="str">
        <f>Dashboard!C11</f>
        <v>CNY</v>
      </c>
    </row>
    <row r="41" ht="15.75" customHeight="1">
      <c r="A41" s="65" t="s">
        <v>272</v>
      </c>
      <c r="E41" s="212">
        <f>price_pershare(D40,Data!F2,Cs_Shares,Dashboard!C12)</f>
        <v>46.77708706</v>
      </c>
      <c r="F41" s="213" t="str">
        <f>Dashboard!D6</f>
        <v>CNY</v>
      </c>
    </row>
    <row r="42" ht="15.75" customHeight="1"/>
    <row r="43" ht="15.75" customHeight="1">
      <c r="A43" s="115" t="s">
        <v>273</v>
      </c>
      <c r="B43" s="65" t="s">
        <v>274</v>
      </c>
      <c r="D43" s="164" t="str">
        <f>F41</f>
        <v>CNY</v>
      </c>
      <c r="E43" s="164">
        <f>Dashboard!C6</f>
        <v>41.76</v>
      </c>
      <c r="F43" s="65" t="s">
        <v>275</v>
      </c>
      <c r="G43" s="214">
        <f>E43/E41-1</f>
        <v>-0.1072552263</v>
      </c>
      <c r="H43" s="65" t="str">
        <f>IF(G43&lt;0,"undervalued","overvalued") &amp; " by the market."</f>
        <v>undervalued by the market.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">
    <mergeCell ref="D38:E38"/>
    <mergeCell ref="D39:E39"/>
    <mergeCell ref="D40:E40"/>
    <mergeCell ref="A1:C1"/>
    <mergeCell ref="D31:E31"/>
    <mergeCell ref="D32:E32"/>
    <mergeCell ref="D33:E33"/>
    <mergeCell ref="D34:E34"/>
    <mergeCell ref="D36:E36"/>
    <mergeCell ref="D37:E37"/>
  </mergeCells>
  <dataValidations>
    <dataValidation type="list" allowBlank="1" sqref="B2">
      <formula1>"Base Case,Bear Case,Bull Case"</formula1>
    </dataValidation>
  </dataValidations>
  <drawing r:id="rId1"/>
</worksheet>
</file>