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Bear Model" sheetId="3" r:id="rId6"/>
    <sheet state="visible" name="Base Model" sheetId="4" r:id="rId7"/>
  </sheets>
  <definedNames>
    <definedName localSheetId="3" name="Model_NOPAT">'Base Model'!$D$14:$M$14</definedName>
    <definedName localSheetId="2" name="Model_EbitGrowth">'Bear Model'!$D$11:$M$11</definedName>
    <definedName localSheetId="3" name="ModelYear">'Base Model'!$D$9:$M$9</definedName>
    <definedName localSheetId="2" name="EXP_Wacc">'Bear Model'!$C$5</definedName>
    <definedName localSheetId="2" name="Model_FCFF">'Bear Model'!$D$18:$M$18</definedName>
    <definedName name="MV_NonOpAssets">Data!$F$69</definedName>
    <definedName localSheetId="3" name="Terminal_EbitGrowth">Dashboard!$F$29</definedName>
    <definedName localSheetId="2" name="Terminal_EbitGrowth">Dashboard!$F$29</definedName>
    <definedName localSheetId="2" name="Terminal_Wacc">'Bear Model'!$K$5</definedName>
    <definedName localSheetId="2" name="ModelYear">'Bear Model'!$D$9:$M$9</definedName>
    <definedName name="Cs_Shares">Dashboard!$C$8</definedName>
    <definedName localSheetId="3" name="EXP_Wacc">'Base Model'!$C$5</definedName>
    <definedName localSheetId="3" name="EXP_CAP">'Base Model'!$G$5</definedName>
    <definedName localSheetId="3" name="Terminal_Wacc">'Base Model'!$K$5</definedName>
    <definedName localSheetId="3" name="Model_FCFF">'Base Model'!$D$18:$M$18</definedName>
    <definedName localSheetId="2" name="Model_NOPAT">'Bear Model'!$D$14:$M$14</definedName>
    <definedName localSheetId="3" name="Model_EbitGrowth">'Base Model'!$D$11:$M$11</definedName>
    <definedName localSheetId="2" name="EXP_CAP">'Bear Model'!$G$5</definedName>
  </definedNames>
  <calcPr/>
  <extLst>
    <ext uri="GoogleSheetsCustomDataVersion1">
      <go:sheetsCustomData xmlns:go="http://customooxmlschemas.google.com/" r:id="rId8" roundtripDataSignature="AMtx7mj+RVWQklPfGCZyskCoV2+WCwuCEA=="/>
    </ext>
  </extLst>
</workbook>
</file>

<file path=xl/sharedStrings.xml><?xml version="1.0" encoding="utf-8"?>
<sst xmlns="http://schemas.openxmlformats.org/spreadsheetml/2006/main" count="378" uniqueCount="265">
  <si>
    <t>Company Info:</t>
  </si>
  <si>
    <t>Ticker:</t>
  </si>
  <si>
    <t>0345</t>
  </si>
  <si>
    <t>Ticker Name:</t>
  </si>
  <si>
    <t>維他奶</t>
  </si>
  <si>
    <t>Valuation Date:</t>
  </si>
  <si>
    <t>Listing Location:</t>
  </si>
  <si>
    <t>HK</t>
  </si>
  <si>
    <t>Current Price:</t>
  </si>
  <si>
    <t>HKD</t>
  </si>
  <si>
    <t>Number of Shares:</t>
  </si>
  <si>
    <t>Capitalization:</t>
  </si>
  <si>
    <t>P/E Ratio:</t>
  </si>
  <si>
    <t>Discount Rate Assumptions</t>
  </si>
  <si>
    <t>P/B Ratio:</t>
  </si>
  <si>
    <t>Risk-free Rate</t>
  </si>
  <si>
    <t>Reporting Currency:</t>
  </si>
  <si>
    <t>Discount rate during CAP</t>
  </si>
  <si>
    <t>Exchange Rate:</t>
  </si>
  <si>
    <t>Discount rate after CAP</t>
  </si>
  <si>
    <t>Valuation Output:</t>
  </si>
  <si>
    <t>Bear</t>
  </si>
  <si>
    <t>Base</t>
  </si>
  <si>
    <t>Expected price per share (EP) =</t>
  </si>
  <si>
    <t>Expected Purchase Price</t>
  </si>
  <si>
    <t>PE/PB</t>
  </si>
  <si>
    <t>IRR given 2 yrs holding period</t>
  </si>
  <si>
    <t xml:space="preserve">Margin of Safety = </t>
  </si>
  <si>
    <t>Valuation Assumptions:</t>
  </si>
  <si>
    <t>Business Category</t>
  </si>
  <si>
    <t>Stalwart</t>
  </si>
  <si>
    <t>Base Case</t>
  </si>
  <si>
    <t>Bear Case</t>
  </si>
  <si>
    <t>Stalwart with depleting competitive power</t>
  </si>
  <si>
    <t>Value Drivers</t>
  </si>
  <si>
    <t>Past 5Y</t>
  </si>
  <si>
    <t>Terminal</t>
  </si>
  <si>
    <t>Length of CAP</t>
  </si>
  <si>
    <t>EBIT Growth</t>
  </si>
  <si>
    <t>After-tax ROC</t>
  </si>
  <si>
    <t>After-tax Reinvestment Rate</t>
  </si>
  <si>
    <t>Competitive enviroment analysis to estimate CAP</t>
  </si>
  <si>
    <t>Use the Porter's Five Forces Analysis to estimate the length of CAP</t>
  </si>
  <si>
    <t>To answer the below questions, Each force is ranked by Very High, High, Medium, Low, and Very Low:</t>
  </si>
  <si>
    <t>I. Threat of New Entrants =</t>
  </si>
  <si>
    <t>1. There is no cost advantage associated with the supply-side economics of scale.</t>
  </si>
  <si>
    <t>Strongly disagree</t>
  </si>
  <si>
    <t>2. There is no network effect associated with the products/services.</t>
  </si>
  <si>
    <t>agree</t>
  </si>
  <si>
    <t>3. There is low customer switching cost.</t>
  </si>
  <si>
    <t>Strongly agree</t>
  </si>
  <si>
    <t>4. There are low capital requirements.</t>
  </si>
  <si>
    <t xml:space="preserve">5. There is no incumbency advantages independent of size. (like management skill etc) </t>
  </si>
  <si>
    <t>6. There are equal access to distribution channels.</t>
  </si>
  <si>
    <t>unclear</t>
  </si>
  <si>
    <t>7. There is no restrictive government policy.</t>
  </si>
  <si>
    <t>8. There is little "real" brand barriers. (like the trust in brands in food industry)</t>
  </si>
  <si>
    <t>II. Power of Suppliers =</t>
  </si>
  <si>
    <t>1. The supplier is more concentrated than the industry it sells to.</t>
  </si>
  <si>
    <t>2. The supplier group does not depends heavily on the industry for its revenues.</t>
  </si>
  <si>
    <t>3. There is high switching costs in changing suppliers.</t>
  </si>
  <si>
    <t>4. The suppliers offer products that are differentiated.</t>
  </si>
  <si>
    <t>5. There is no substitute for what the supplier group provides.</t>
  </si>
  <si>
    <t>6. The supplier group can credibly threaten to integrate forward into the industry.</t>
  </si>
  <si>
    <t>III. Power of Buyers =</t>
  </si>
  <si>
    <t>1. There are few buyers, or some buyers who purchase in relatively large volumes.</t>
  </si>
  <si>
    <t>2. The products are standardized or undifferentiated.</t>
  </si>
  <si>
    <t>disagree</t>
  </si>
  <si>
    <t>3. The buyers face low switching costs in changing vendors.</t>
  </si>
  <si>
    <t>4. The buyers can credibly threaten to integrate backward.</t>
  </si>
  <si>
    <t>5. The product the buyers purchase are relatively expensive.</t>
  </si>
  <si>
    <t>6.The buyer group earns low income, or is strapped for cash.</t>
  </si>
  <si>
    <t>7. The buyers are little affacted by the industry's product.</t>
  </si>
  <si>
    <t>8. The industry’s product has little effect on the buyer’s other costs.</t>
  </si>
  <si>
    <t>IV. Threat of Substitutions =</t>
  </si>
  <si>
    <t>1. There is an unfavorable gap in the price or performance when compared.</t>
  </si>
  <si>
    <t>2. The buyer's cost of switching to the substitute is low.</t>
  </si>
  <si>
    <t>3. It's likely the substitutes will become very attractive in three to five years.</t>
  </si>
  <si>
    <t>V. Rivalry among existing Competitors =</t>
  </si>
  <si>
    <t>1. There are numerous competitors or are roughly equal in size and power.</t>
  </si>
  <si>
    <t>2. Industry growth is slow.</t>
  </si>
  <si>
    <t>3. Exit barriers are high.</t>
  </si>
  <si>
    <t>4. Rivals are highly committed to the business and have aspirations for leadership.</t>
  </si>
  <si>
    <t>5. Firms cannot read each other’s signals well.</t>
  </si>
  <si>
    <t>6. Products or services of rivals are nearly identical with few buyer switching costs.</t>
  </si>
  <si>
    <t>7. Fixed costs are high and marginal costs are low.</t>
  </si>
  <si>
    <t>8. Capacity must be expanded in large increments to be efficient.</t>
  </si>
  <si>
    <t>9. The product is perishable.</t>
  </si>
  <si>
    <t>Conclusion: the Industry Competition level is</t>
  </si>
  <si>
    <t>Length of the CAP suggested by the Porter's Five Forces</t>
  </si>
  <si>
    <t>Margin of Safety Recommendation</t>
  </si>
  <si>
    <t>PART I: Valuation Error &amp; Volatility</t>
  </si>
  <si>
    <t>1. Is the business simple and understandable?</t>
  </si>
  <si>
    <t>2. Does the company have low financial leverage?</t>
  </si>
  <si>
    <t>3. Does the company have few error-probed valuation issues (like MI and options)</t>
  </si>
  <si>
    <t>4. Does the company have few low frequency &amp; high serverity operational risk?</t>
  </si>
  <si>
    <t>5. Does the company have a large capitalization, high popularity (like Tencent/Apple), and good dividend?</t>
  </si>
  <si>
    <t>There is an assumed minimium 10% Valuation Error, and the maximium margin of safty is estimated to be</t>
  </si>
  <si>
    <t>PART II: Quality Score</t>
  </si>
  <si>
    <t>a. Business Tenets:</t>
  </si>
  <si>
    <t>1. Does the company have a consistent operating and earning history?</t>
  </si>
  <si>
    <t>2. Does the company have sustainable competitive advantages?</t>
  </si>
  <si>
    <t>3. Does the company have lots of reinvestment opportunities within their moats?</t>
  </si>
  <si>
    <t>4. Does the company have low amount of operating leverage?</t>
  </si>
  <si>
    <t>5. Does the company have a good opeartional risk management history?</t>
  </si>
  <si>
    <t>b. Financial Tenets:</t>
  </si>
  <si>
    <t>1. Are the profit margins attractive (better than industry)?</t>
  </si>
  <si>
    <t xml:space="preserve">2. Can current operations be maintained without too much need to spend? </t>
  </si>
  <si>
    <t>3. Can cash be reinvested at attractive compound rates?</t>
  </si>
  <si>
    <t>4. Is the company's balance sheet strong?</t>
  </si>
  <si>
    <t>5. Does the company have low working capital requirements and fast cash conversion cycle?</t>
  </si>
  <si>
    <t>c. Market Tenets:</t>
  </si>
  <si>
    <t xml:space="preserve">1. Is the company free to adjust prices to inflation? </t>
  </si>
  <si>
    <t>2. Is the company enjoying limited competition?</t>
  </si>
  <si>
    <t>3. Is the company operating in a good industry (structurally more profitable, not driven primarily by price, etc)?</t>
  </si>
  <si>
    <t>4. Is the company less susceptible to econmoic cycle?</t>
  </si>
  <si>
    <t>5. Does the company have a positive ESG value?</t>
  </si>
  <si>
    <t>d. Management Tenets:</t>
  </si>
  <si>
    <t>1. Is the company operated by Owner Operator who is the most knowledgeble and passionate about business?</t>
  </si>
  <si>
    <t>2. Are managers clear and consistent in their communications and actions with stakeholders?</t>
  </si>
  <si>
    <t>3. Has management resisted the temptation to grow quickly by merger?</t>
  </si>
  <si>
    <t>4. Have the managers been buying the stock? Has the company resist buying back stock opportunistically?</t>
  </si>
  <si>
    <t>5. Are managers positively motivated to benefit all stakeholders?</t>
  </si>
  <si>
    <t>the Quality Score estimated to be</t>
  </si>
  <si>
    <t xml:space="preserve">The margin of Safety Recomended is </t>
  </si>
  <si>
    <t>Company statement Inputs</t>
  </si>
  <si>
    <t>Year of the last 10k =</t>
  </si>
  <si>
    <t>Figures in =</t>
  </si>
  <si>
    <t>Past 5 year EBIT growth</t>
  </si>
  <si>
    <t>Last Report =</t>
  </si>
  <si>
    <t>FY</t>
  </si>
  <si>
    <t>LTM Net Income:</t>
  </si>
  <si>
    <t>Sales</t>
  </si>
  <si>
    <t>Sales Growth Rate</t>
  </si>
  <si>
    <t>BV EBIT</t>
  </si>
  <si>
    <t>EBIT Margin</t>
  </si>
  <si>
    <t>NOPAT</t>
  </si>
  <si>
    <t>Interest Expense</t>
  </si>
  <si>
    <t>Effective Tax Rate</t>
  </si>
  <si>
    <t>Current Asset</t>
  </si>
  <si>
    <t>Current Liabilities</t>
  </si>
  <si>
    <t>Short Term Interest-bearing Debt</t>
  </si>
  <si>
    <t>Long Term Interest-bearing Debt</t>
  </si>
  <si>
    <t>Interest-bearing Debt</t>
  </si>
  <si>
    <t>Equity</t>
  </si>
  <si>
    <t>BV of Minority interests</t>
  </si>
  <si>
    <t>Cash, Cash Equivalents &amp;STI</t>
  </si>
  <si>
    <t>Non-operating Assets</t>
  </si>
  <si>
    <t>Invested Capital (IC)</t>
  </si>
  <si>
    <t>Net Capex = PP&amp;E Diff.</t>
  </si>
  <si>
    <t>Net Capex/Sales</t>
  </si>
  <si>
    <t>WC</t>
  </si>
  <si>
    <t>WCInv</t>
  </si>
  <si>
    <t>WC/Sales</t>
  </si>
  <si>
    <t>Reinvestment</t>
  </si>
  <si>
    <t>Modified Dupont Analysis</t>
  </si>
  <si>
    <t>NOPAT Margin</t>
  </si>
  <si>
    <t>Capital Turnover Ratio</t>
  </si>
  <si>
    <t>ROIC</t>
  </si>
  <si>
    <t>Financial Leverage &amp; WC</t>
  </si>
  <si>
    <t>Long-term Debt / Equity</t>
  </si>
  <si>
    <t>Total Debt / Equity</t>
  </si>
  <si>
    <t>EBIT / Total Debt</t>
  </si>
  <si>
    <t>Current Ratio</t>
  </si>
  <si>
    <t>Data Adjustments</t>
  </si>
  <si>
    <t>1. EBIT Adjustment</t>
  </si>
  <si>
    <t>Perpetual EBIT growth rate =</t>
  </si>
  <si>
    <t>Base year EBIT Adj. approach =</t>
  </si>
  <si>
    <t>Average pre-tax ROC</t>
  </si>
  <si>
    <t>1. No Adjustment</t>
  </si>
  <si>
    <t>2. Average after-tax ROIC</t>
  </si>
  <si>
    <t>3. Direct Input</t>
  </si>
  <si>
    <t>2. Effective and Marginal Tax rate</t>
  </si>
  <si>
    <t>Marginal Tax rate</t>
  </si>
  <si>
    <t>Effective Tax rate Adj. approach =</t>
  </si>
  <si>
    <t>No Adjustment</t>
  </si>
  <si>
    <t>2. Average Effective Tax Rate</t>
  </si>
  <si>
    <t>3. Direct Input (assume marginal tax rate)</t>
  </si>
  <si>
    <t>3. After-tax ROIC</t>
  </si>
  <si>
    <t>1. No Adjustement</t>
  </si>
  <si>
    <t>2. Historical average</t>
  </si>
  <si>
    <t>4. Market Value of the Debt and Options</t>
  </si>
  <si>
    <t>MV of the Debt</t>
  </si>
  <si>
    <t>MV of the Options</t>
  </si>
  <si>
    <t>// Avg exercise price?</t>
  </si>
  <si>
    <t>5. Market Value of the Non-operating Assets</t>
  </si>
  <si>
    <t>BV of Non-operating Assets = MV?</t>
  </si>
  <si>
    <t>Yes</t>
  </si>
  <si>
    <t>1. BV of Non-operating Assets = MV</t>
  </si>
  <si>
    <t>2. Direct Input</t>
  </si>
  <si>
    <t>6. Market Value of Minority Interests</t>
  </si>
  <si>
    <t>Estimated MV of the MI =</t>
  </si>
  <si>
    <t>BV of the MI</t>
  </si>
  <si>
    <t>1. BV of the MI</t>
  </si>
  <si>
    <t>3. P/E Approach</t>
  </si>
  <si>
    <t>2. P/B Approach</t>
  </si>
  <si>
    <t>4. Direct Input</t>
  </si>
  <si>
    <t>7. R&amp;D Adjustment</t>
  </si>
  <si>
    <t>Capitalize R&amp;D expenses?</t>
  </si>
  <si>
    <t>No</t>
  </si>
  <si>
    <t>To amortize R&amp;D expenses in</t>
  </si>
  <si>
    <t>Year</t>
  </si>
  <si>
    <t>R&amp;D Expense</t>
  </si>
  <si>
    <t>Unamortized portion</t>
  </si>
  <si>
    <t>Amortization this year</t>
  </si>
  <si>
    <t>Value of Research Asset =</t>
  </si>
  <si>
    <t>Amortization of Asset for current year =</t>
  </si>
  <si>
    <t>Without capitalizing</t>
  </si>
  <si>
    <t>With capitalizing</t>
  </si>
  <si>
    <t>Industry</t>
  </si>
  <si>
    <t>Amortization Period</t>
  </si>
  <si>
    <t>Operating income</t>
  </si>
  <si>
    <t>Non-technological Service</t>
  </si>
  <si>
    <t>2 years</t>
  </si>
  <si>
    <t>Operating margin</t>
  </si>
  <si>
    <t>Retail, Tech Service</t>
  </si>
  <si>
    <t>3 years</t>
  </si>
  <si>
    <t>Light Manufacturing</t>
  </si>
  <si>
    <t>5 years</t>
  </si>
  <si>
    <t>Net Income</t>
  </si>
  <si>
    <t>Heavy  Manufacturing</t>
  </si>
  <si>
    <t>10 years</t>
  </si>
  <si>
    <t>Invested capital</t>
  </si>
  <si>
    <t>Research, with Patenting</t>
  </si>
  <si>
    <t>After-tax ROIC</t>
  </si>
  <si>
    <t>Long Gestation Period</t>
  </si>
  <si>
    <t>Valuation Output</t>
  </si>
  <si>
    <t>Value Drivers (Scenario Inputs)</t>
  </si>
  <si>
    <t>CAP Drivers</t>
  </si>
  <si>
    <t>Stable Growth Drivers</t>
  </si>
  <si>
    <t>Discount Rate =</t>
  </si>
  <si>
    <t>Length of CAP =</t>
  </si>
  <si>
    <t>CAGR of CAP =</t>
  </si>
  <si>
    <t>Adjust discount rate at year</t>
  </si>
  <si>
    <t xml:space="preserve">Discount Rate Spread = </t>
  </si>
  <si>
    <t>Output Summary</t>
  </si>
  <si>
    <t>The FCFF for the high growth phase are shown below (upto 10 years)</t>
  </si>
  <si>
    <t>Terminal Year</t>
  </si>
  <si>
    <t>Invested Capital</t>
  </si>
  <si>
    <t>EBIT growth rate</t>
  </si>
  <si>
    <t>EBIT (Operating income)</t>
  </si>
  <si>
    <t>Tax rate</t>
  </si>
  <si>
    <t>Reinvestment rate</t>
  </si>
  <si>
    <t>FCFF</t>
  </si>
  <si>
    <t>Discount Rate</t>
  </si>
  <si>
    <t>Cumulated Discount factor</t>
  </si>
  <si>
    <t>PV of FCFF</t>
  </si>
  <si>
    <t>FCFF Valuation</t>
  </si>
  <si>
    <t>% Value</t>
  </si>
  <si>
    <t>Values</t>
  </si>
  <si>
    <t>+ PV of FCFF during CAP =</t>
  </si>
  <si>
    <t>+ PV of Terminal Value =</t>
  </si>
  <si>
    <t>+ Non-Operating Asset + Cash</t>
  </si>
  <si>
    <t>Value of Firm =</t>
  </si>
  <si>
    <t>- MV of outstanding debt =</t>
  </si>
  <si>
    <t>Value of Equity =</t>
  </si>
  <si>
    <t>- MV of Minority Interests</t>
  </si>
  <si>
    <t>- MV of Options</t>
  </si>
  <si>
    <t>Value of Equity in Common Stock =</t>
  </si>
  <si>
    <t xml:space="preserve">PE = </t>
  </si>
  <si>
    <t>Value of equity per share =</t>
  </si>
  <si>
    <t xml:space="preserve">PB = </t>
  </si>
  <si>
    <t>Valuation Verdict:</t>
  </si>
  <si>
    <t>Given the Current Stock price =</t>
  </si>
  <si>
    <t>,the company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</si>
</sst>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#,##0&quot;mm&quot;"/>
    <numFmt numFmtId="166" formatCode="#,##0.00&quot;x&quot;"/>
    <numFmt numFmtId="167" formatCode="0\ &quot;Years&quot;"/>
    <numFmt numFmtId="168" formatCode="0.00\x"/>
  </numFmts>
  <fonts count="29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theme="0"/>
      <name val="Arial"/>
    </font>
    <font>
      <sz val="10.0"/>
      <color rgb="FFA61C00"/>
      <name val="Arial"/>
    </font>
    <font>
      <i/>
      <sz val="10.0"/>
      <color rgb="FF0000FF"/>
      <name val="Arial"/>
    </font>
    <font>
      <i/>
      <sz val="10.0"/>
      <color rgb="FFFFFFFF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b/>
      <i/>
      <u/>
      <sz val="10.0"/>
      <color theme="1"/>
      <name val="Arial"/>
    </font>
    <font>
      <b/>
      <i/>
      <sz val="10.0"/>
      <color theme="1"/>
      <name val="Arial"/>
    </font>
    <font>
      <b/>
      <sz val="10.0"/>
      <color rgb="FF000000"/>
      <name val="Roboto"/>
    </font>
    <font>
      <sz val="10.0"/>
      <color rgb="FFCC4125"/>
      <name val="Arial"/>
    </font>
    <font>
      <sz val="10.0"/>
      <color theme="0"/>
      <name val="Helvetica Neue"/>
    </font>
    <font>
      <sz val="10.0"/>
      <color theme="1"/>
      <name val="Helvetica Neue"/>
    </font>
    <font>
      <sz val="9.0"/>
      <color theme="0"/>
      <name val="Arial"/>
    </font>
    <font>
      <i/>
      <u/>
      <sz val="9.0"/>
      <color theme="1"/>
      <name val="Calibri"/>
    </font>
    <font>
      <sz val="9.0"/>
      <color theme="1"/>
      <name val="Arial"/>
    </font>
    <font>
      <sz val="9.0"/>
      <color theme="1"/>
      <name val="Calibri"/>
    </font>
    <font>
      <u/>
      <sz val="10.0"/>
      <color theme="1"/>
      <name val="Arial"/>
    </font>
    <font>
      <i/>
      <u/>
      <sz val="10.0"/>
      <color theme="1"/>
      <name val="Arial"/>
    </font>
    <font>
      <i/>
      <sz val="9.0"/>
      <color rgb="FFFFFFFF"/>
      <name val="Arial"/>
    </font>
    <font>
      <b/>
      <sz val="10.0"/>
      <color rgb="FF000000"/>
      <name val="Arial"/>
    </font>
    <font>
      <u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DE49A"/>
        <bgColor rgb="FFFDE49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3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bottom style="double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4" fontId="5" numFmtId="0" xfId="0" applyBorder="1" applyFill="1" applyFont="1"/>
    <xf borderId="5" fillId="5" fontId="6" numFmtId="49" xfId="0" applyAlignment="1" applyBorder="1" applyFill="1" applyFont="1" applyNumberFormat="1">
      <alignment horizontal="center" readingOrder="0"/>
    </xf>
    <xf borderId="6" fillId="0" fontId="4" numFmtId="0" xfId="0" applyBorder="1" applyFont="1"/>
    <xf borderId="7" fillId="4" fontId="5" numFmtId="0" xfId="0" applyBorder="1" applyFont="1"/>
    <xf borderId="2" fillId="5" fontId="6" numFmtId="0" xfId="0" applyAlignment="1" applyBorder="1" applyFont="1">
      <alignment horizontal="center" readingOrder="0"/>
    </xf>
    <xf borderId="8" fillId="0" fontId="4" numFmtId="0" xfId="0" applyBorder="1" applyFont="1"/>
    <xf borderId="9" fillId="4" fontId="5" numFmtId="0" xfId="0" applyBorder="1" applyFont="1"/>
    <xf borderId="10" fillId="5" fontId="6" numFmtId="164" xfId="0" applyAlignment="1" applyBorder="1" applyFont="1" applyNumberFormat="1">
      <alignment horizontal="center" readingOrder="0"/>
    </xf>
    <xf borderId="11" fillId="0" fontId="4" numFmtId="0" xfId="0" applyBorder="1" applyFont="1"/>
    <xf borderId="5" fillId="5" fontId="6" numFmtId="0" xfId="0" applyAlignment="1" applyBorder="1" applyFont="1">
      <alignment horizontal="center"/>
    </xf>
    <xf borderId="1" fillId="6" fontId="6" numFmtId="4" xfId="0" applyAlignment="1" applyBorder="1" applyFill="1" applyFont="1" applyNumberFormat="1">
      <alignment horizontal="right" readingOrder="0"/>
    </xf>
    <xf borderId="12" fillId="3" fontId="7" numFmtId="0" xfId="0" applyAlignment="1" applyBorder="1" applyFont="1">
      <alignment horizontal="center"/>
    </xf>
    <xf borderId="2" fillId="5" fontId="6" numFmtId="3" xfId="0" applyAlignment="1" applyBorder="1" applyFont="1" applyNumberFormat="1">
      <alignment horizontal="center" readingOrder="0"/>
    </xf>
    <xf borderId="2" fillId="3" fontId="1" numFmtId="165" xfId="0" applyAlignment="1" applyBorder="1" applyFont="1" applyNumberFormat="1">
      <alignment horizontal="center"/>
    </xf>
    <xf borderId="13" fillId="0" fontId="7" numFmtId="4" xfId="0" applyAlignment="1" applyBorder="1" applyFont="1" applyNumberFormat="1">
      <alignment horizontal="center"/>
    </xf>
    <xf borderId="14" fillId="0" fontId="4" numFmtId="0" xfId="0" applyBorder="1" applyFont="1"/>
    <xf borderId="1" fillId="2" fontId="8" numFmtId="0" xfId="0" applyBorder="1" applyFont="1"/>
    <xf borderId="15" fillId="0" fontId="7" numFmtId="4" xfId="0" applyAlignment="1" applyBorder="1" applyFont="1" applyNumberFormat="1">
      <alignment horizontal="center"/>
    </xf>
    <xf borderId="16" fillId="0" fontId="4" numFmtId="0" xfId="0" applyBorder="1" applyFont="1"/>
    <xf borderId="1" fillId="4" fontId="8" numFmtId="0" xfId="0" applyBorder="1" applyFont="1"/>
    <xf borderId="17" fillId="5" fontId="6" numFmtId="10" xfId="0" applyAlignment="1" applyBorder="1" applyFont="1" applyNumberFormat="1">
      <alignment horizontal="center"/>
    </xf>
    <xf borderId="0" fillId="0" fontId="9" numFmtId="0" xfId="0" applyFont="1"/>
    <xf borderId="18" fillId="7" fontId="7" numFmtId="0" xfId="0" applyAlignment="1" applyBorder="1" applyFill="1" applyFont="1">
      <alignment horizontal="right"/>
    </xf>
    <xf borderId="19" fillId="3" fontId="7" numFmtId="0" xfId="0" applyAlignment="1" applyBorder="1" applyFont="1">
      <alignment horizontal="center"/>
    </xf>
    <xf borderId="1" fillId="8" fontId="7" numFmtId="0" xfId="0" applyBorder="1" applyFill="1" applyFont="1"/>
    <xf borderId="20" fillId="2" fontId="5" numFmtId="0" xfId="0" applyAlignment="1" applyBorder="1" applyFont="1">
      <alignment horizontal="center"/>
    </xf>
    <xf borderId="21" fillId="0" fontId="4" numFmtId="0" xfId="0" applyBorder="1" applyFont="1"/>
    <xf borderId="1" fillId="4" fontId="5" numFmtId="0" xfId="0" applyAlignment="1" applyBorder="1" applyFont="1">
      <alignment horizontal="left"/>
    </xf>
    <xf borderId="20" fillId="3" fontId="7" numFmtId="2" xfId="0" applyAlignment="1" applyBorder="1" applyFont="1" applyNumberFormat="1">
      <alignment horizontal="center"/>
    </xf>
    <xf borderId="20" fillId="5" fontId="10" numFmtId="4" xfId="0" applyAlignment="1" applyBorder="1" applyFont="1" applyNumberFormat="1">
      <alignment horizontal="center" readingOrder="0"/>
    </xf>
    <xf borderId="22" fillId="0" fontId="4" numFmtId="0" xfId="0" applyBorder="1" applyFont="1"/>
    <xf borderId="1" fillId="4" fontId="11" numFmtId="0" xfId="0" applyAlignment="1" applyBorder="1" applyFont="1">
      <alignment horizontal="right"/>
    </xf>
    <xf borderId="20" fillId="0" fontId="12" numFmtId="4" xfId="0" applyAlignment="1" applyBorder="1" applyFont="1" applyNumberFormat="1">
      <alignment horizontal="center"/>
    </xf>
    <xf borderId="22" fillId="0" fontId="12" numFmtId="4" xfId="0" applyAlignment="1" applyBorder="1" applyFont="1" applyNumberFormat="1">
      <alignment horizontal="center"/>
    </xf>
    <xf borderId="20" fillId="3" fontId="13" numFmtId="10" xfId="0" applyAlignment="1" applyBorder="1" applyFont="1" applyNumberFormat="1">
      <alignment horizontal="center"/>
    </xf>
    <xf borderId="0" fillId="0" fontId="12" numFmtId="0" xfId="0" applyFont="1"/>
    <xf borderId="1" fillId="2" fontId="7" numFmtId="0" xfId="0" applyBorder="1" applyFont="1"/>
    <xf borderId="17" fillId="5" fontId="1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/>
    </xf>
    <xf borderId="20" fillId="5" fontId="6" numFmtId="0" xfId="0" applyAlignment="1" applyBorder="1" applyFont="1">
      <alignment horizontal="left"/>
    </xf>
    <xf borderId="9" fillId="2" fontId="11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5" fillId="2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0" fillId="0" fontId="7" numFmtId="0" xfId="0" applyAlignment="1" applyBorder="1" applyFont="1">
      <alignment horizontal="center" vertical="center"/>
    </xf>
    <xf borderId="26" fillId="0" fontId="4" numFmtId="0" xfId="0" applyBorder="1" applyFont="1"/>
    <xf borderId="5" fillId="6" fontId="1" numFmtId="0" xfId="0" applyAlignment="1" applyBorder="1" applyFont="1">
      <alignment horizontal="center" vertical="center"/>
    </xf>
    <xf borderId="27" fillId="0" fontId="4" numFmtId="0" xfId="0" applyBorder="1" applyFont="1"/>
    <xf borderId="17" fillId="0" fontId="3" numFmtId="0" xfId="0" applyAlignment="1" applyBorder="1" applyFont="1">
      <alignment horizontal="center" vertical="center"/>
    </xf>
    <xf borderId="28" fillId="3" fontId="7" numFmtId="10" xfId="0" applyAlignment="1" applyBorder="1" applyFont="1" applyNumberFormat="1">
      <alignment horizontal="center" vertical="center"/>
    </xf>
    <xf borderId="29" fillId="3" fontId="1" numFmtId="10" xfId="0" applyAlignment="1" applyBorder="1" applyFont="1" applyNumberFormat="1">
      <alignment horizontal="center" vertical="center"/>
    </xf>
    <xf borderId="17" fillId="3" fontId="1" numFmtId="10" xfId="0" applyAlignment="1" applyBorder="1" applyFont="1" applyNumberFormat="1">
      <alignment horizontal="center" vertical="center"/>
    </xf>
    <xf borderId="17" fillId="3" fontId="7" numFmtId="10" xfId="0" applyAlignment="1" applyBorder="1" applyFont="1" applyNumberFormat="1">
      <alignment horizontal="center" vertical="center"/>
    </xf>
    <xf borderId="29" fillId="3" fontId="7" numFmtId="10" xfId="0" applyAlignment="1" applyBorder="1" applyFont="1" applyNumberFormat="1">
      <alignment horizontal="center" vertical="center"/>
    </xf>
    <xf borderId="0" fillId="0" fontId="7" numFmtId="0" xfId="0" applyFont="1"/>
    <xf borderId="0" fillId="0" fontId="5" numFmtId="10" xfId="0" applyFont="1" applyNumberFormat="1"/>
    <xf borderId="2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" fillId="5" fontId="6" numFmtId="0" xfId="0" applyAlignment="1" applyBorder="1" applyFont="1">
      <alignment horizontal="center"/>
    </xf>
    <xf borderId="0" fillId="0" fontId="5" numFmtId="0" xfId="0" applyFont="1"/>
    <xf borderId="0" fillId="0" fontId="8" numFmtId="10" xfId="0" applyFont="1" applyNumberFormat="1"/>
    <xf borderId="2" fillId="9" fontId="7" numFmtId="0" xfId="0" applyAlignment="1" applyBorder="1" applyFill="1" applyFont="1">
      <alignment horizontal="center"/>
    </xf>
    <xf borderId="0" fillId="0" fontId="14" numFmtId="0" xfId="0" applyFont="1"/>
    <xf borderId="0" fillId="0" fontId="15" numFmtId="0" xfId="0" applyFont="1"/>
    <xf borderId="2" fillId="3" fontId="1" numFmtId="10" xfId="0" applyAlignment="1" applyBorder="1" applyFont="1" applyNumberFormat="1">
      <alignment horizontal="center"/>
    </xf>
    <xf borderId="0" fillId="0" fontId="3" numFmtId="0" xfId="0" applyFont="1"/>
    <xf borderId="2" fillId="5" fontId="7" numFmtId="0" xfId="0" applyAlignment="1" applyBorder="1" applyFont="1">
      <alignment horizontal="center"/>
    </xf>
    <xf borderId="2" fillId="3" fontId="7" numFmtId="10" xfId="0" applyAlignment="1" applyBorder="1" applyFont="1" applyNumberFormat="1">
      <alignment horizontal="center"/>
    </xf>
    <xf borderId="1" fillId="8" fontId="16" numFmtId="0" xfId="0" applyBorder="1" applyFont="1"/>
    <xf borderId="0" fillId="0" fontId="7" numFmtId="0" xfId="0" applyAlignment="1" applyFont="1">
      <alignment horizontal="right"/>
    </xf>
    <xf borderId="0" fillId="0" fontId="5" numFmtId="10" xfId="0" applyAlignment="1" applyFont="1" applyNumberFormat="1">
      <alignment horizontal="right"/>
    </xf>
    <xf borderId="2" fillId="9" fontId="7" numFmtId="10" xfId="0" applyAlignment="1" applyBorder="1" applyFont="1" applyNumberFormat="1">
      <alignment horizontal="center"/>
    </xf>
    <xf borderId="1" fillId="8" fontId="3" numFmtId="0" xfId="0" applyBorder="1" applyFont="1"/>
    <xf borderId="0" fillId="0" fontId="2" numFmtId="0" xfId="0" applyFont="1"/>
    <xf borderId="1" fillId="10" fontId="2" numFmtId="0" xfId="0" applyBorder="1" applyFill="1" applyFont="1"/>
    <xf borderId="1" fillId="10" fontId="5" numFmtId="0" xfId="0" applyBorder="1" applyFont="1"/>
    <xf borderId="17" fillId="5" fontId="6" numFmtId="0" xfId="0" applyAlignment="1" applyBorder="1" applyFont="1">
      <alignment horizontal="center"/>
    </xf>
    <xf borderId="17" fillId="5" fontId="6" numFmtId="3" xfId="0" applyAlignment="1" applyBorder="1" applyFont="1" applyNumberFormat="1">
      <alignment horizontal="center"/>
    </xf>
    <xf borderId="17" fillId="0" fontId="1" numFmtId="10" xfId="0" applyAlignment="1" applyBorder="1" applyFont="1" applyNumberFormat="1">
      <alignment horizontal="center"/>
    </xf>
    <xf borderId="17" fillId="5" fontId="6" numFmtId="3" xfId="0" applyAlignment="1" applyBorder="1" applyFont="1" applyNumberFormat="1">
      <alignment horizontal="center" readingOrder="0"/>
    </xf>
    <xf borderId="17" fillId="0" fontId="7" numFmtId="0" xfId="0" applyAlignment="1" applyBorder="1" applyFont="1">
      <alignment shrinkToFit="0" wrapText="1"/>
    </xf>
    <xf borderId="17" fillId="10" fontId="8" numFmtId="0" xfId="0" applyAlignment="1" applyBorder="1" applyFont="1">
      <alignment horizontal="center"/>
    </xf>
    <xf borderId="17" fillId="10" fontId="5" numFmtId="0" xfId="0" applyAlignment="1" applyBorder="1" applyFont="1">
      <alignment horizontal="center" shrinkToFit="0" wrapText="1"/>
    </xf>
    <xf borderId="17" fillId="3" fontId="7" numFmtId="10" xfId="0" applyAlignment="1" applyBorder="1" applyFont="1" applyNumberFormat="1">
      <alignment horizontal="center"/>
    </xf>
    <xf borderId="17" fillId="8" fontId="7" numFmtId="10" xfId="0" applyAlignment="1" applyBorder="1" applyFont="1" applyNumberFormat="1">
      <alignment horizontal="center"/>
    </xf>
    <xf borderId="17" fillId="3" fontId="7" numFmtId="3" xfId="0" applyAlignment="1" applyBorder="1" applyFont="1" applyNumberFormat="1">
      <alignment horizontal="center"/>
    </xf>
    <xf borderId="17" fillId="5" fontId="6" numFmtId="10" xfId="0" applyAlignment="1" applyBorder="1" applyFont="1" applyNumberFormat="1">
      <alignment horizontal="center" readingOrder="0"/>
    </xf>
    <xf borderId="30" fillId="11" fontId="7" numFmtId="0" xfId="0" applyAlignment="1" applyBorder="1" applyFill="1" applyFont="1">
      <alignment horizontal="center"/>
    </xf>
    <xf borderId="17" fillId="0" fontId="7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17" fillId="3" fontId="7" numFmtId="4" xfId="0" applyAlignment="1" applyBorder="1" applyFont="1" applyNumberFormat="1">
      <alignment horizontal="center"/>
    </xf>
    <xf borderId="17" fillId="8" fontId="7" numFmtId="0" xfId="0" applyAlignment="1" applyBorder="1" applyFont="1">
      <alignment horizontal="center"/>
    </xf>
    <xf borderId="17" fillId="3" fontId="7" numFmtId="166" xfId="0" applyAlignment="1" applyBorder="1" applyFont="1" applyNumberFormat="1">
      <alignment horizontal="center"/>
    </xf>
    <xf borderId="1" fillId="2" fontId="5" numFmtId="0" xfId="0" applyBorder="1" applyFont="1"/>
    <xf borderId="1" fillId="9" fontId="7" numFmtId="0" xfId="0" applyBorder="1" applyFont="1"/>
    <xf borderId="20" fillId="12" fontId="7" numFmtId="10" xfId="0" applyAlignment="1" applyBorder="1" applyFill="1" applyFont="1" applyNumberFormat="1">
      <alignment horizontal="center"/>
    </xf>
    <xf borderId="20" fillId="5" fontId="6" numFmtId="0" xfId="0" applyAlignment="1" applyBorder="1" applyFont="1">
      <alignment horizontal="center" readingOrder="0"/>
    </xf>
    <xf borderId="0" fillId="0" fontId="7" numFmtId="10" xfId="0" applyAlignment="1" applyFont="1" applyNumberFormat="1">
      <alignment horizontal="center"/>
    </xf>
    <xf borderId="2" fillId="8" fontId="7" numFmtId="0" xfId="0" applyBorder="1" applyFont="1"/>
    <xf borderId="20" fillId="3" fontId="7" numFmtId="3" xfId="0" applyAlignment="1" applyBorder="1" applyFont="1" applyNumberFormat="1">
      <alignment horizontal="center"/>
    </xf>
    <xf borderId="0" fillId="0" fontId="17" numFmtId="0" xfId="0" applyFont="1"/>
    <xf borderId="20" fillId="5" fontId="6" numFmtId="3" xfId="0" applyAlignment="1" applyBorder="1" applyFont="1" applyNumberFormat="1">
      <alignment horizontal="center"/>
    </xf>
    <xf borderId="20" fillId="5" fontId="7" numFmtId="10" xfId="0" applyAlignment="1" applyBorder="1" applyFont="1" applyNumberFormat="1">
      <alignment horizontal="center"/>
    </xf>
    <xf borderId="20" fillId="5" fontId="6" numFmtId="0" xfId="0" applyAlignment="1" applyBorder="1" applyFont="1">
      <alignment horizontal="center"/>
    </xf>
    <xf borderId="0" fillId="0" fontId="8" numFmtId="10" xfId="0" applyAlignment="1" applyFont="1" applyNumberFormat="1">
      <alignment horizontal="left"/>
    </xf>
    <xf borderId="20" fillId="3" fontId="7" numFmtId="10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20" fillId="12" fontId="7" numFmtId="3" xfId="0" applyAlignment="1" applyBorder="1" applyFont="1" applyNumberFormat="1">
      <alignment horizontal="center"/>
    </xf>
    <xf borderId="0" fillId="0" fontId="5" numFmtId="3" xfId="0" applyAlignment="1" applyFont="1" applyNumberFormat="1">
      <alignment horizontal="center"/>
    </xf>
    <xf borderId="20" fillId="5" fontId="6" numFmtId="3" xfId="0" applyBorder="1" applyFont="1" applyNumberFormat="1"/>
    <xf borderId="1" fillId="9" fontId="1" numFmtId="0" xfId="0" applyAlignment="1" applyBorder="1" applyFont="1">
      <alignment horizontal="left"/>
    </xf>
    <xf borderId="1" fillId="8" fontId="5" numFmtId="3" xfId="0" applyAlignment="1" applyBorder="1" applyFont="1" applyNumberFormat="1">
      <alignment horizontal="center"/>
    </xf>
    <xf borderId="20" fillId="5" fontId="7" numFmtId="0" xfId="0" applyAlignment="1" applyBorder="1" applyFont="1">
      <alignment horizontal="center"/>
    </xf>
    <xf borderId="20" fillId="5" fontId="7" numFmtId="167" xfId="0" applyAlignment="1" applyBorder="1" applyFont="1" applyNumberFormat="1">
      <alignment horizontal="center"/>
    </xf>
    <xf borderId="17" fillId="2" fontId="18" numFmtId="2" xfId="0" applyAlignment="1" applyBorder="1" applyFont="1" applyNumberFormat="1">
      <alignment horizontal="center"/>
    </xf>
    <xf borderId="20" fillId="2" fontId="18" numFmtId="2" xfId="0" applyAlignment="1" applyBorder="1" applyFont="1" applyNumberFormat="1">
      <alignment horizontal="center"/>
    </xf>
    <xf borderId="17" fillId="2" fontId="18" numFmtId="2" xfId="0" applyBorder="1" applyFont="1" applyNumberFormat="1"/>
    <xf borderId="17" fillId="3" fontId="7" numFmtId="2" xfId="0" applyAlignment="1" applyBorder="1" applyFont="1" applyNumberFormat="1">
      <alignment horizontal="center"/>
    </xf>
    <xf borderId="17" fillId="5" fontId="6" numFmtId="1" xfId="0" applyAlignment="1" applyBorder="1" applyFont="1" applyNumberFormat="1">
      <alignment horizontal="center"/>
    </xf>
    <xf borderId="17" fillId="3" fontId="7" numFmtId="1" xfId="0" applyAlignment="1" applyBorder="1" applyFont="1" applyNumberFormat="1">
      <alignment horizontal="center"/>
    </xf>
    <xf borderId="17" fillId="3" fontId="7" numFmtId="1" xfId="0" applyAlignment="1" applyBorder="1" applyFont="1" applyNumberFormat="1">
      <alignment horizontal="right"/>
    </xf>
    <xf borderId="0" fillId="0" fontId="19" numFmtId="0" xfId="0" applyFont="1"/>
    <xf borderId="17" fillId="2" fontId="20" numFmtId="0" xfId="0" applyBorder="1" applyFont="1"/>
    <xf borderId="17" fillId="2" fontId="20" numFmtId="0" xfId="0" applyAlignment="1" applyBorder="1" applyFont="1">
      <alignment horizontal="center"/>
    </xf>
    <xf borderId="17" fillId="0" fontId="21" numFmtId="0" xfId="0" applyBorder="1" applyFont="1"/>
    <xf borderId="17" fillId="0" fontId="22" numFmtId="0" xfId="0" applyBorder="1" applyFont="1"/>
    <xf borderId="17" fillId="0" fontId="23" numFmtId="0" xfId="0" applyBorder="1" applyFont="1"/>
    <xf borderId="21" fillId="0" fontId="23" numFmtId="0" xfId="0" applyBorder="1" applyFont="1"/>
    <xf borderId="0" fillId="0" fontId="22" numFmtId="0" xfId="0" applyFont="1"/>
    <xf borderId="0" fillId="0" fontId="7" numFmtId="3" xfId="0" applyAlignment="1" applyFont="1" applyNumberFormat="1">
      <alignment horizontal="center"/>
    </xf>
    <xf borderId="2" fillId="2" fontId="5" numFmtId="0" xfId="0" applyBorder="1" applyFont="1"/>
    <xf borderId="1" fillId="3" fontId="24" numFmtId="0" xfId="0" applyAlignment="1" applyBorder="1" applyFont="1">
      <alignment horizontal="center"/>
    </xf>
    <xf borderId="0" fillId="0" fontId="25" numFmtId="0" xfId="0" applyFont="1"/>
    <xf borderId="17" fillId="12" fontId="7" numFmtId="10" xfId="0" applyAlignment="1" applyBorder="1" applyFont="1" applyNumberFormat="1">
      <alignment horizontal="center"/>
    </xf>
    <xf borderId="17" fillId="3" fontId="6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30" fillId="2" fontId="26" numFmtId="0" xfId="0" applyBorder="1" applyFont="1"/>
    <xf borderId="30" fillId="2" fontId="5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1" fillId="3" fontId="7" numFmtId="4" xfId="0" applyAlignment="1" applyBorder="1" applyFont="1" applyNumberFormat="1">
      <alignment horizontal="center"/>
    </xf>
    <xf borderId="13" fillId="0" fontId="7" numFmtId="0" xfId="0" applyAlignment="1" applyBorder="1" applyFont="1">
      <alignment horizontal="right"/>
    </xf>
    <xf borderId="13" fillId="0" fontId="7" numFmtId="0" xfId="0" applyAlignment="1" applyBorder="1" applyFont="1">
      <alignment horizontal="center"/>
    </xf>
    <xf borderId="31" fillId="7" fontId="7" numFmtId="10" xfId="0" applyAlignment="1" applyBorder="1" applyFont="1" applyNumberFormat="1">
      <alignment horizontal="center" readingOrder="0"/>
    </xf>
    <xf borderId="31" fillId="7" fontId="7" numFmtId="10" xfId="0" applyAlignment="1" applyBorder="1" applyFont="1" applyNumberFormat="1">
      <alignment horizontal="center"/>
    </xf>
    <xf borderId="31" fillId="3" fontId="7" numFmtId="10" xfId="0" applyAlignment="1" applyBorder="1" applyFont="1" applyNumberFormat="1">
      <alignment horizontal="center"/>
    </xf>
    <xf borderId="1" fillId="3" fontId="7" numFmtId="3" xfId="0" applyAlignment="1" applyBorder="1" applyFont="1" applyNumberFormat="1">
      <alignment horizontal="center"/>
    </xf>
    <xf borderId="1" fillId="3" fontId="7" numFmtId="10" xfId="0" applyAlignment="1" applyBorder="1" applyFont="1" applyNumberFormat="1">
      <alignment horizontal="center"/>
    </xf>
    <xf borderId="1" fillId="5" fontId="6" numFmtId="10" xfId="0" applyAlignment="1" applyBorder="1" applyFont="1" applyNumberFormat="1">
      <alignment horizontal="center"/>
    </xf>
    <xf borderId="13" fillId="0" fontId="7" numFmtId="0" xfId="0" applyBorder="1" applyFont="1"/>
    <xf borderId="31" fillId="3" fontId="7" numFmtId="3" xfId="0" applyAlignment="1" applyBorder="1" applyFont="1" applyNumberFormat="1">
      <alignment horizontal="center"/>
    </xf>
    <xf borderId="1" fillId="5" fontId="6" numFmtId="10" xfId="0" applyAlignment="1" applyBorder="1" applyFont="1" applyNumberFormat="1">
      <alignment horizontal="center" readingOrder="0"/>
    </xf>
    <xf borderId="32" fillId="3" fontId="7" numFmtId="10" xfId="0" applyAlignment="1" applyBorder="1" applyFont="1" applyNumberFormat="1">
      <alignment horizontal="center"/>
    </xf>
    <xf borderId="33" fillId="0" fontId="7" numFmtId="0" xfId="0" applyBorder="1" applyFont="1"/>
    <xf borderId="33" fillId="0" fontId="7" numFmtId="3" xfId="0" applyAlignment="1" applyBorder="1" applyFont="1" applyNumberFormat="1">
      <alignment horizontal="center"/>
    </xf>
    <xf borderId="34" fillId="3" fontId="7" numFmtId="3" xfId="0" applyAlignment="1" applyBorder="1" applyFont="1" applyNumberFormat="1">
      <alignment horizontal="center"/>
    </xf>
    <xf borderId="18" fillId="3" fontId="7" numFmtId="3" xfId="0" applyAlignment="1" applyBorder="1" applyFont="1" applyNumberFormat="1">
      <alignment horizontal="center"/>
    </xf>
    <xf borderId="35" fillId="0" fontId="12" numFmtId="0" xfId="0" applyAlignment="1" applyBorder="1" applyFont="1">
      <alignment horizontal="right"/>
    </xf>
    <xf borderId="35" fillId="0" fontId="7" numFmtId="0" xfId="0" applyAlignment="1" applyBorder="1" applyFont="1">
      <alignment horizontal="center"/>
    </xf>
    <xf borderId="1" fillId="8" fontId="7" numFmtId="0" xfId="0" applyAlignment="1" applyBorder="1" applyFont="1">
      <alignment horizontal="center"/>
    </xf>
    <xf borderId="15" fillId="0" fontId="7" numFmtId="0" xfId="0" applyBorder="1" applyFont="1"/>
    <xf borderId="15" fillId="0" fontId="7" numFmtId="0" xfId="0" applyAlignment="1" applyBorder="1" applyFont="1">
      <alignment horizontal="center"/>
    </xf>
    <xf quotePrefix="1" borderId="0" fillId="0" fontId="7" numFmtId="0" xfId="0" applyFont="1"/>
    <xf borderId="2" fillId="3" fontId="7" numFmtId="3" xfId="0" applyAlignment="1" applyBorder="1" applyFont="1" applyNumberFormat="1">
      <alignment horizontal="center"/>
    </xf>
    <xf borderId="10" fillId="3" fontId="7" numFmtId="3" xfId="0" applyAlignment="1" applyBorder="1" applyFont="1" applyNumberFormat="1">
      <alignment horizontal="center"/>
    </xf>
    <xf borderId="36" fillId="0" fontId="4" numFmtId="0" xfId="0" applyBorder="1" applyFont="1"/>
    <xf borderId="37" fillId="3" fontId="7" numFmtId="3" xfId="0" applyAlignment="1" applyBorder="1" applyFont="1" applyNumberFormat="1">
      <alignment horizontal="center"/>
    </xf>
    <xf borderId="31" fillId="3" fontId="7" numFmtId="0" xfId="0" applyAlignment="1" applyBorder="1" applyFont="1">
      <alignment horizontal="center"/>
    </xf>
    <xf borderId="0" fillId="0" fontId="27" numFmtId="0" xfId="0" applyFont="1"/>
    <xf borderId="31" fillId="3" fontId="7" numFmtId="168" xfId="0" applyAlignment="1" applyBorder="1" applyFont="1" applyNumberFormat="1">
      <alignment horizontal="center"/>
    </xf>
    <xf borderId="38" fillId="9" fontId="3" numFmtId="2" xfId="0" applyAlignment="1" applyBorder="1" applyFont="1" applyNumberFormat="1">
      <alignment horizontal="center"/>
    </xf>
    <xf borderId="38" fillId="3" fontId="7" numFmtId="0" xfId="0" applyAlignment="1" applyBorder="1" applyFont="1">
      <alignment horizontal="center"/>
    </xf>
    <xf borderId="38" fillId="3" fontId="7" numFmtId="168" xfId="0" applyAlignment="1" applyBorder="1" applyFont="1" applyNumberFormat="1">
      <alignment horizontal="center"/>
    </xf>
    <xf borderId="17" fillId="3" fontId="7" numFmtId="0" xfId="0" applyAlignment="1" applyBorder="1" applyFont="1">
      <alignment horizontal="center"/>
    </xf>
    <xf borderId="17" fillId="9" fontId="28" numFmtId="10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8.25"/>
    <col customWidth="1" min="3" max="7" width="13.88"/>
    <col customWidth="1" min="9" max="9" width="40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B2" s="2" t="s">
        <v>0</v>
      </c>
      <c r="C2" s="3" t="str">
        <f>C3&amp;" : "&amp;C4</f>
        <v>0345 : 維他奶</v>
      </c>
      <c r="D2" s="4"/>
    </row>
    <row r="3" ht="15.75" customHeight="1">
      <c r="B3" s="5" t="s">
        <v>1</v>
      </c>
      <c r="C3" s="6" t="s">
        <v>2</v>
      </c>
      <c r="D3" s="7"/>
    </row>
    <row r="4" ht="15.75" customHeight="1">
      <c r="B4" s="8" t="s">
        <v>3</v>
      </c>
      <c r="C4" s="9" t="s">
        <v>4</v>
      </c>
      <c r="D4" s="10"/>
    </row>
    <row r="5" ht="15.75" customHeight="1">
      <c r="B5" s="11" t="s">
        <v>5</v>
      </c>
      <c r="C5" s="12">
        <v>44792.0</v>
      </c>
      <c r="D5" s="13"/>
    </row>
    <row r="6" ht="15.75" customHeight="1">
      <c r="B6" s="5" t="s">
        <v>6</v>
      </c>
      <c r="C6" s="14" t="s">
        <v>7</v>
      </c>
      <c r="D6" s="7"/>
    </row>
    <row r="7" ht="15.75" customHeight="1">
      <c r="B7" s="8" t="s">
        <v>8</v>
      </c>
      <c r="C7" s="15">
        <v>11.94</v>
      </c>
      <c r="D7" s="16" t="s">
        <v>9</v>
      </c>
    </row>
    <row r="8" ht="15.75" customHeight="1">
      <c r="B8" s="8" t="s">
        <v>10</v>
      </c>
      <c r="C8" s="17">
        <v>1.070801035E9</v>
      </c>
      <c r="D8" s="10"/>
    </row>
    <row r="9" ht="15.75" customHeight="1">
      <c r="B9" s="8" t="s">
        <v>11</v>
      </c>
      <c r="C9" s="18">
        <f>C7*C8/1000000</f>
        <v>12785.36436</v>
      </c>
      <c r="D9" s="10"/>
    </row>
    <row r="10" ht="15.75" customHeight="1">
      <c r="B10" s="5" t="s">
        <v>12</v>
      </c>
      <c r="C10" s="19" t="str">
        <f>If(Data!F4&lt;=0,"NA",C7/((Data!F4*C13)/(C8/Data!F3)))</f>
        <v>NA</v>
      </c>
      <c r="D10" s="20"/>
      <c r="E10" s="21" t="s">
        <v>13</v>
      </c>
      <c r="F10" s="21"/>
    </row>
    <row r="11" ht="15.75" customHeight="1">
      <c r="B11" s="11" t="s">
        <v>14</v>
      </c>
      <c r="C11" s="22">
        <f>C7/(IF(Data!C20="",Data!D20,Data!C20)*Data!F3/Cs_Shares)</f>
        <v>3.582238643</v>
      </c>
      <c r="D11" s="23"/>
      <c r="E11" s="24" t="s">
        <v>15</v>
      </c>
      <c r="F11" s="24"/>
      <c r="G11" s="25">
        <v>0.03</v>
      </c>
    </row>
    <row r="12" ht="15.75" customHeight="1">
      <c r="B12" s="5" t="s">
        <v>16</v>
      </c>
      <c r="C12" s="14" t="s">
        <v>9</v>
      </c>
      <c r="D12" s="7"/>
      <c r="E12" s="24" t="s">
        <v>17</v>
      </c>
      <c r="F12" s="24"/>
      <c r="G12" s="25">
        <f>G11+4.5%</f>
        <v>0.075</v>
      </c>
      <c r="H12" s="26" t="str">
        <f>IF(G12&gt;6%,"","Be careful with the long-term debt cycle")</f>
        <v/>
      </c>
    </row>
    <row r="13" ht="15.75" customHeight="1">
      <c r="B13" s="11" t="s">
        <v>18</v>
      </c>
      <c r="C13" s="27">
        <v>1.0</v>
      </c>
      <c r="D13" s="28" t="str">
        <f>IF(C12=Dashboard!D7,"NA",C12&amp;Dashboard!D7)</f>
        <v>NA</v>
      </c>
      <c r="E13" s="24" t="s">
        <v>19</v>
      </c>
      <c r="F13" s="24"/>
      <c r="G13" s="25">
        <f>G11+6.75%</f>
        <v>0.0975</v>
      </c>
      <c r="H13" s="26" t="str">
        <f>IF(G13&gt;8%,"","Be careful with the long-term debt cycle")</f>
        <v/>
      </c>
    </row>
    <row r="14" ht="15.75" customHeight="1">
      <c r="E14" s="29"/>
    </row>
    <row r="15" ht="15.75" customHeight="1">
      <c r="B15" s="2" t="s">
        <v>20</v>
      </c>
      <c r="C15" s="30" t="s">
        <v>21</v>
      </c>
      <c r="D15" s="31"/>
      <c r="E15" s="30" t="s">
        <v>22</v>
      </c>
      <c r="F15" s="31"/>
    </row>
    <row r="16" ht="15.75" customHeight="1">
      <c r="B16" s="32" t="s">
        <v>23</v>
      </c>
      <c r="C16" s="33">
        <f>'Bear Model'!F34</f>
        <v>7.645273464</v>
      </c>
      <c r="D16" s="31"/>
      <c r="E16" s="33">
        <f>'Base Model'!F34</f>
        <v>8.381399182</v>
      </c>
      <c r="F16" s="31"/>
    </row>
    <row r="17" ht="15.75" customHeight="1">
      <c r="B17" s="32" t="s">
        <v>24</v>
      </c>
      <c r="C17" s="34">
        <v>7.0</v>
      </c>
      <c r="D17" s="35"/>
      <c r="E17" s="35"/>
      <c r="F17" s="31"/>
    </row>
    <row r="18" ht="15.75" customHeight="1">
      <c r="A18" s="1"/>
      <c r="B18" s="36" t="s">
        <v>25</v>
      </c>
      <c r="C18" s="37" t="str">
        <f>If(Data!F4&lt;=0,"NA",C17/((Data!F4*C13)/(C8/Data!F3)))</f>
        <v>NA</v>
      </c>
      <c r="D18" s="35"/>
      <c r="E18" s="38">
        <f>C17/(IF(Data!C20="",Data!D20,Data!C20)*Data!F3/Cs_Shares)</f>
        <v>2.100139908</v>
      </c>
      <c r="F18" s="3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B19" s="32" t="s">
        <v>26</v>
      </c>
      <c r="C19" s="39">
        <f>(C16/$C17)^(1/1.5)-1</f>
        <v>0.06054717029</v>
      </c>
      <c r="D19" s="31"/>
      <c r="E19" s="39">
        <f>(E16/$C17)^(1/1.5)-1</f>
        <v>0.1275755673</v>
      </c>
      <c r="F19" s="31"/>
      <c r="G19" s="40"/>
    </row>
    <row r="20" ht="15.75" customHeight="1">
      <c r="B20" s="32" t="s">
        <v>27</v>
      </c>
      <c r="C20" s="39">
        <f>H117</f>
        <v>0.139375</v>
      </c>
      <c r="D20" s="35"/>
      <c r="E20" s="35"/>
      <c r="F20" s="31"/>
    </row>
    <row r="21" ht="15.75" customHeight="1"/>
    <row r="22" ht="15.75" customHeight="1">
      <c r="B22" s="2" t="s">
        <v>28</v>
      </c>
      <c r="C22" s="41"/>
    </row>
    <row r="23" ht="27.75" customHeight="1">
      <c r="B23" s="42" t="s">
        <v>29</v>
      </c>
      <c r="C23" s="43" t="s">
        <v>30</v>
      </c>
      <c r="D23" s="35"/>
      <c r="E23" s="35"/>
      <c r="F23" s="35"/>
      <c r="G23" s="35"/>
      <c r="H23" s="35"/>
      <c r="I23" s="31"/>
    </row>
    <row r="24" ht="15.75" customHeight="1">
      <c r="B24" s="44" t="s">
        <v>31</v>
      </c>
      <c r="C24" s="45" t="s">
        <v>30</v>
      </c>
      <c r="D24" s="35"/>
      <c r="E24" s="35"/>
      <c r="F24" s="35"/>
      <c r="G24" s="35"/>
      <c r="H24" s="35"/>
      <c r="I24" s="31"/>
    </row>
    <row r="25" ht="15.75" customHeight="1">
      <c r="B25" s="44" t="s">
        <v>32</v>
      </c>
      <c r="C25" s="45" t="s">
        <v>33</v>
      </c>
      <c r="D25" s="35"/>
      <c r="E25" s="35"/>
      <c r="F25" s="35"/>
      <c r="G25" s="35"/>
      <c r="H25" s="35"/>
      <c r="I25" s="31"/>
    </row>
    <row r="26" ht="15.75" customHeight="1">
      <c r="F26" s="29"/>
    </row>
    <row r="27" ht="30.0" customHeight="1">
      <c r="B27" s="46" t="s">
        <v>34</v>
      </c>
      <c r="C27" s="47" t="s">
        <v>35</v>
      </c>
      <c r="D27" s="48" t="s">
        <v>21</v>
      </c>
      <c r="E27" s="49" t="s">
        <v>22</v>
      </c>
      <c r="F27" s="50" t="s">
        <v>36</v>
      </c>
      <c r="H27" s="51"/>
      <c r="I27" s="51"/>
    </row>
    <row r="28" ht="30.0" customHeight="1">
      <c r="B28" s="52" t="s">
        <v>37</v>
      </c>
      <c r="C28" s="53"/>
      <c r="D28" s="54">
        <f>H81</f>
        <v>6</v>
      </c>
      <c r="E28" s="7"/>
      <c r="F28" s="55"/>
      <c r="H28" s="51"/>
      <c r="I28" s="51"/>
    </row>
    <row r="29" ht="30.0" customHeight="1">
      <c r="B29" s="56" t="s">
        <v>38</v>
      </c>
      <c r="C29" s="57">
        <f>Data!J3</f>
        <v>-0.3296620812</v>
      </c>
      <c r="D29" s="58">
        <f>'Bear Model'!C6</f>
        <v>0.08801138973</v>
      </c>
      <c r="E29" s="59">
        <f>'Base Model'!C6</f>
        <v>0.1</v>
      </c>
      <c r="F29" s="60">
        <f>G11</f>
        <v>0.03</v>
      </c>
      <c r="H29" s="51"/>
      <c r="I29" s="51"/>
    </row>
    <row r="30" ht="30.0" customHeight="1">
      <c r="B30" s="56" t="s">
        <v>39</v>
      </c>
      <c r="C30" s="60">
        <f>average(Data!C35:F35)</f>
        <v>0.2406961872</v>
      </c>
      <c r="D30" s="61">
        <f>AVERAGE('Bear Model'!D15:M15)</f>
        <v>0.1518229674</v>
      </c>
      <c r="E30" s="60">
        <f>AVERAGE('Base Model'!D15:M15)</f>
        <v>0.1622623924</v>
      </c>
      <c r="F30" s="60">
        <f>G13</f>
        <v>0.0975</v>
      </c>
      <c r="H30" s="51"/>
      <c r="I30" s="51"/>
    </row>
    <row r="31" ht="30.0" customHeight="1">
      <c r="B31" s="56" t="s">
        <v>40</v>
      </c>
      <c r="C31" s="60">
        <f>AVERAGE(Data!C31:F31)</f>
        <v>0.8302337759</v>
      </c>
      <c r="D31" s="61">
        <f t="shared" ref="D31:F31" si="1">D29/D30</f>
        <v>0.5796974675</v>
      </c>
      <c r="E31" s="60">
        <f t="shared" si="1"/>
        <v>0.6162857487</v>
      </c>
      <c r="F31" s="60">
        <f t="shared" si="1"/>
        <v>0.3076923077</v>
      </c>
      <c r="H31" s="51"/>
      <c r="I31" s="51"/>
    </row>
    <row r="32" ht="15.75" customHeight="1"/>
    <row r="33" ht="15.75" customHeight="1">
      <c r="B33" s="2" t="s">
        <v>41</v>
      </c>
      <c r="C33" s="2"/>
      <c r="D33" s="2"/>
    </row>
    <row r="34" ht="15.75" customHeight="1">
      <c r="B34" s="62" t="s">
        <v>42</v>
      </c>
      <c r="D34" s="51"/>
    </row>
    <row r="35" ht="15.75" customHeight="1">
      <c r="B35" s="62" t="s">
        <v>43</v>
      </c>
      <c r="D35" s="51"/>
    </row>
    <row r="36" ht="15.75" customHeight="1">
      <c r="B36" s="62" t="s">
        <v>44</v>
      </c>
      <c r="E36" s="51"/>
      <c r="G36" s="63">
        <f>SUM(G37:G44)/(8*4)</f>
        <v>0.40625</v>
      </c>
      <c r="H36" s="64" t="str">
        <f>IF(G36&gt;80%,"Very High",IF(G36&lt;=20%,"Very Low",IF(G36&lt;=40%,"Low",IF(G36&lt;=60%,"Medium","High"))))</f>
        <v>Medium</v>
      </c>
      <c r="I36" s="4"/>
    </row>
    <row r="37" ht="15.75" customHeight="1">
      <c r="B37" s="62" t="s">
        <v>45</v>
      </c>
      <c r="E37" s="51"/>
      <c r="G37" s="65">
        <f t="shared" ref="G37:G44" si="2">IF(H37="Strongly disagree",0,IF(H37="disagree",1,IF(H37="unclear",2,IF(H37="agree",3,4))))</f>
        <v>0</v>
      </c>
      <c r="H37" s="66" t="s">
        <v>46</v>
      </c>
      <c r="I37" s="4"/>
    </row>
    <row r="38" ht="15.75" customHeight="1">
      <c r="B38" s="62" t="s">
        <v>47</v>
      </c>
      <c r="E38" s="51"/>
      <c r="G38" s="65">
        <f t="shared" si="2"/>
        <v>3</v>
      </c>
      <c r="H38" s="66" t="s">
        <v>48</v>
      </c>
      <c r="I38" s="4"/>
    </row>
    <row r="39" ht="15.75" customHeight="1">
      <c r="B39" s="62" t="s">
        <v>49</v>
      </c>
      <c r="E39" s="51"/>
      <c r="G39" s="65">
        <f t="shared" si="2"/>
        <v>4</v>
      </c>
      <c r="H39" s="66" t="s">
        <v>50</v>
      </c>
      <c r="I39" s="4"/>
    </row>
    <row r="40" ht="15.75" customHeight="1">
      <c r="B40" s="62" t="s">
        <v>51</v>
      </c>
      <c r="E40" s="51"/>
      <c r="G40" s="65">
        <f t="shared" si="2"/>
        <v>0</v>
      </c>
      <c r="H40" s="66" t="s">
        <v>46</v>
      </c>
      <c r="I40" s="4"/>
    </row>
    <row r="41" ht="15.75" customHeight="1">
      <c r="B41" s="62" t="s">
        <v>52</v>
      </c>
      <c r="E41" s="51"/>
      <c r="G41" s="65">
        <f t="shared" si="2"/>
        <v>0</v>
      </c>
      <c r="H41" s="66" t="s">
        <v>46</v>
      </c>
      <c r="I41" s="4"/>
    </row>
    <row r="42" ht="15.75" customHeight="1">
      <c r="B42" s="62" t="s">
        <v>53</v>
      </c>
      <c r="E42" s="51"/>
      <c r="G42" s="65">
        <f t="shared" si="2"/>
        <v>2</v>
      </c>
      <c r="H42" s="66" t="s">
        <v>54</v>
      </c>
      <c r="I42" s="4"/>
    </row>
    <row r="43" ht="15.75" customHeight="1">
      <c r="B43" s="62" t="s">
        <v>55</v>
      </c>
      <c r="E43" s="51"/>
      <c r="G43" s="65">
        <f t="shared" si="2"/>
        <v>4</v>
      </c>
      <c r="H43" s="66" t="s">
        <v>50</v>
      </c>
      <c r="I43" s="4"/>
    </row>
    <row r="44" ht="15.75" customHeight="1">
      <c r="B44" s="62" t="s">
        <v>56</v>
      </c>
      <c r="G44" s="65">
        <f t="shared" si="2"/>
        <v>0</v>
      </c>
      <c r="H44" s="66" t="s">
        <v>46</v>
      </c>
      <c r="I44" s="4"/>
    </row>
    <row r="45" ht="15.75" customHeight="1">
      <c r="G45" s="67"/>
      <c r="H45" s="51"/>
    </row>
    <row r="46" ht="15.75" customHeight="1">
      <c r="B46" s="62" t="s">
        <v>57</v>
      </c>
      <c r="E46" s="51"/>
      <c r="G46" s="63">
        <f>SUM(G47:G52)/(6*4)</f>
        <v>0</v>
      </c>
      <c r="H46" s="64" t="str">
        <f>IF(G46&gt;80%,"Very High",IF(G46&lt;=20%,"Very Low",IF(G46&lt;=40%,"Low",IF(G46&lt;=60%,"Medium","High"))))</f>
        <v>Very Low</v>
      </c>
      <c r="I46" s="4"/>
    </row>
    <row r="47" ht="15.75" customHeight="1">
      <c r="B47" s="62" t="s">
        <v>58</v>
      </c>
      <c r="E47" s="51"/>
      <c r="G47" s="65">
        <f t="shared" ref="G47:G52" si="3">IF(H47="Strongly disagree",0,IF(H47="disagree",1,IF(H47="unclear",2,IF(H47="agree",3,4))))</f>
        <v>0</v>
      </c>
      <c r="H47" s="66" t="s">
        <v>46</v>
      </c>
      <c r="I47" s="4"/>
    </row>
    <row r="48" ht="15.75" customHeight="1">
      <c r="B48" s="62" t="s">
        <v>59</v>
      </c>
      <c r="E48" s="51"/>
      <c r="G48" s="65">
        <f t="shared" si="3"/>
        <v>0</v>
      </c>
      <c r="H48" s="66" t="s">
        <v>46</v>
      </c>
      <c r="I48" s="4"/>
    </row>
    <row r="49" ht="15.75" customHeight="1">
      <c r="B49" s="62" t="s">
        <v>60</v>
      </c>
      <c r="E49" s="51"/>
      <c r="G49" s="65">
        <f t="shared" si="3"/>
        <v>0</v>
      </c>
      <c r="H49" s="66" t="s">
        <v>46</v>
      </c>
      <c r="I49" s="4"/>
    </row>
    <row r="50" ht="15.75" customHeight="1">
      <c r="B50" s="62" t="s">
        <v>61</v>
      </c>
      <c r="E50" s="51"/>
      <c r="G50" s="65">
        <f t="shared" si="3"/>
        <v>0</v>
      </c>
      <c r="H50" s="66" t="s">
        <v>46</v>
      </c>
      <c r="I50" s="4"/>
    </row>
    <row r="51" ht="15.75" customHeight="1">
      <c r="B51" s="62" t="s">
        <v>62</v>
      </c>
      <c r="E51" s="51"/>
      <c r="G51" s="65">
        <f t="shared" si="3"/>
        <v>0</v>
      </c>
      <c r="H51" s="66" t="s">
        <v>46</v>
      </c>
      <c r="I51" s="4"/>
    </row>
    <row r="52" ht="15.75" customHeight="1">
      <c r="B52" s="62" t="s">
        <v>63</v>
      </c>
      <c r="E52" s="51"/>
      <c r="G52" s="65">
        <f t="shared" si="3"/>
        <v>0</v>
      </c>
      <c r="H52" s="66" t="s">
        <v>46</v>
      </c>
      <c r="I52" s="4"/>
    </row>
    <row r="53" ht="15.75" customHeight="1">
      <c r="G53" s="67"/>
      <c r="H53" s="51"/>
      <c r="I53" s="51"/>
    </row>
    <row r="54" ht="15.75" customHeight="1">
      <c r="B54" s="62" t="s">
        <v>64</v>
      </c>
      <c r="E54" s="51"/>
      <c r="G54" s="63">
        <f>SUM(G55:G62)/(8*4)</f>
        <v>0.46875</v>
      </c>
      <c r="H54" s="64" t="str">
        <f>IF(G54&gt;80%,"Very High",IF(G54&lt;=20%,"Very Low",IF(G54&lt;=40%,"Low",IF(G54&lt;=60%,"Medium","High"))))</f>
        <v>Medium</v>
      </c>
      <c r="I54" s="4"/>
    </row>
    <row r="55" ht="15.75" customHeight="1">
      <c r="B55" s="62" t="s">
        <v>65</v>
      </c>
      <c r="E55" s="51"/>
      <c r="G55" s="65">
        <f t="shared" ref="G55:G62" si="4">IF(H55="Strongly disagree",0,IF(H55="disagree",1,IF(H55="unclear",2,IF(H55="agree",3,4))))</f>
        <v>0</v>
      </c>
      <c r="H55" s="66" t="s">
        <v>46</v>
      </c>
      <c r="I55" s="4"/>
    </row>
    <row r="56" ht="15.75" customHeight="1">
      <c r="B56" s="62" t="s">
        <v>66</v>
      </c>
      <c r="E56" s="51"/>
      <c r="G56" s="65">
        <f t="shared" si="4"/>
        <v>1</v>
      </c>
      <c r="H56" s="66" t="s">
        <v>67</v>
      </c>
      <c r="I56" s="4"/>
    </row>
    <row r="57" ht="15.75" customHeight="1">
      <c r="B57" s="62" t="s">
        <v>68</v>
      </c>
      <c r="E57" s="51"/>
      <c r="G57" s="65">
        <f t="shared" si="4"/>
        <v>4</v>
      </c>
      <c r="H57" s="66" t="s">
        <v>50</v>
      </c>
      <c r="I57" s="4"/>
    </row>
    <row r="58" ht="15.75" customHeight="1">
      <c r="B58" s="62" t="s">
        <v>69</v>
      </c>
      <c r="E58" s="51"/>
      <c r="G58" s="65">
        <f t="shared" si="4"/>
        <v>0</v>
      </c>
      <c r="H58" s="66" t="s">
        <v>46</v>
      </c>
      <c r="I58" s="4"/>
    </row>
    <row r="59" ht="15.75" customHeight="1">
      <c r="B59" s="62" t="s">
        <v>70</v>
      </c>
      <c r="E59" s="51"/>
      <c r="G59" s="65">
        <f t="shared" si="4"/>
        <v>0</v>
      </c>
      <c r="H59" s="66" t="s">
        <v>46</v>
      </c>
      <c r="I59" s="4"/>
    </row>
    <row r="60" ht="15.75" customHeight="1">
      <c r="B60" s="62" t="s">
        <v>71</v>
      </c>
      <c r="E60" s="51"/>
      <c r="G60" s="65">
        <f t="shared" si="4"/>
        <v>2</v>
      </c>
      <c r="H60" s="66" t="s">
        <v>54</v>
      </c>
      <c r="I60" s="4"/>
    </row>
    <row r="61" ht="15.75" customHeight="1">
      <c r="B61" s="62" t="s">
        <v>72</v>
      </c>
      <c r="E61" s="51"/>
      <c r="G61" s="65">
        <f t="shared" si="4"/>
        <v>4</v>
      </c>
      <c r="H61" s="66" t="s">
        <v>50</v>
      </c>
      <c r="I61" s="4"/>
    </row>
    <row r="62" ht="15.75" customHeight="1">
      <c r="B62" s="62" t="s">
        <v>73</v>
      </c>
      <c r="E62" s="51"/>
      <c r="G62" s="65">
        <f t="shared" si="4"/>
        <v>4</v>
      </c>
      <c r="H62" s="66" t="s">
        <v>50</v>
      </c>
      <c r="I62" s="4"/>
    </row>
    <row r="63" ht="15.75" customHeight="1">
      <c r="G63" s="67"/>
      <c r="H63" s="51"/>
    </row>
    <row r="64" ht="15.75" customHeight="1">
      <c r="B64" s="62" t="s">
        <v>74</v>
      </c>
      <c r="E64" s="51"/>
      <c r="G64" s="63">
        <f>SUM(G65:G67)/(3*4)</f>
        <v>0</v>
      </c>
      <c r="H64" s="64" t="str">
        <f>IF(G64&gt;80%,"Very High",IF(G64&lt;=20%,"Very Low",IF(G64&lt;=40%,"Low",IF(G64&lt;=60%,"Medium","High"))))</f>
        <v>Very Low</v>
      </c>
      <c r="I64" s="4"/>
    </row>
    <row r="65" ht="15.75" customHeight="1">
      <c r="B65" s="62" t="s">
        <v>75</v>
      </c>
      <c r="E65" s="51"/>
      <c r="G65" s="65">
        <f t="shared" ref="G65:G67" si="5">IF(H65="Strongly disagree",0,IF(H65="disagree",1,IF(H65="unclear",2,IF(H65="agree",3,4))))</f>
        <v>0</v>
      </c>
      <c r="H65" s="66" t="s">
        <v>46</v>
      </c>
      <c r="I65" s="4"/>
    </row>
    <row r="66" ht="15.75" customHeight="1">
      <c r="B66" s="62" t="s">
        <v>76</v>
      </c>
      <c r="E66" s="51"/>
      <c r="G66" s="65">
        <f t="shared" si="5"/>
        <v>0</v>
      </c>
      <c r="H66" s="66" t="s">
        <v>46</v>
      </c>
      <c r="I66" s="4"/>
    </row>
    <row r="67" ht="15.75" customHeight="1">
      <c r="B67" s="62" t="s">
        <v>77</v>
      </c>
      <c r="E67" s="51"/>
      <c r="G67" s="65">
        <f t="shared" si="5"/>
        <v>0</v>
      </c>
      <c r="H67" s="66" t="s">
        <v>46</v>
      </c>
      <c r="I67" s="4"/>
    </row>
    <row r="68" ht="15.75" customHeight="1">
      <c r="G68" s="67"/>
      <c r="H68" s="51"/>
    </row>
    <row r="69" ht="15.75" customHeight="1">
      <c r="B69" s="62" t="s">
        <v>78</v>
      </c>
      <c r="E69" s="51"/>
      <c r="G69" s="68">
        <f>SUM(G70:G78)/(9*4)</f>
        <v>0.9444444444</v>
      </c>
      <c r="H69" s="64" t="str">
        <f>IF(G69&gt;80%,"Very High",IF(G69&lt;=20%,"Very Low",IF(G69&lt;=40%,"Low",IF(G69&lt;=60%,"Medium","High"))))</f>
        <v>Very High</v>
      </c>
      <c r="I69" s="4"/>
    </row>
    <row r="70" ht="15.75" customHeight="1">
      <c r="B70" s="62" t="s">
        <v>79</v>
      </c>
      <c r="E70" s="51"/>
      <c r="G70" s="65">
        <f t="shared" ref="G70:G78" si="6">IF(H70="Strongly disagree",0,IF(H70="disagree",1,IF(H70="unclear",2,IF(H70="agree",3,4))))</f>
        <v>4</v>
      </c>
      <c r="H70" s="66" t="s">
        <v>50</v>
      </c>
      <c r="I70" s="4"/>
    </row>
    <row r="71" ht="15.75" customHeight="1">
      <c r="B71" s="62" t="s">
        <v>80</v>
      </c>
      <c r="E71" s="51"/>
      <c r="G71" s="65">
        <f t="shared" si="6"/>
        <v>4</v>
      </c>
      <c r="H71" s="66" t="s">
        <v>50</v>
      </c>
      <c r="I71" s="4"/>
    </row>
    <row r="72" ht="15.75" customHeight="1">
      <c r="B72" s="62" t="s">
        <v>81</v>
      </c>
      <c r="E72" s="51"/>
      <c r="G72" s="65">
        <f t="shared" si="6"/>
        <v>4</v>
      </c>
      <c r="H72" s="66" t="s">
        <v>50</v>
      </c>
      <c r="I72" s="4"/>
    </row>
    <row r="73" ht="15.75" customHeight="1">
      <c r="B73" s="62" t="s">
        <v>82</v>
      </c>
      <c r="E73" s="51"/>
      <c r="G73" s="65">
        <f t="shared" si="6"/>
        <v>4</v>
      </c>
      <c r="H73" s="66" t="s">
        <v>50</v>
      </c>
      <c r="I73" s="4"/>
    </row>
    <row r="74" ht="15.75" customHeight="1">
      <c r="B74" s="62" t="s">
        <v>83</v>
      </c>
      <c r="E74" s="51"/>
      <c r="G74" s="65">
        <f t="shared" si="6"/>
        <v>4</v>
      </c>
      <c r="H74" s="66" t="s">
        <v>50</v>
      </c>
      <c r="I74" s="4"/>
    </row>
    <row r="75" ht="15.75" customHeight="1">
      <c r="B75" s="62" t="s">
        <v>84</v>
      </c>
      <c r="E75" s="51"/>
      <c r="G75" s="65">
        <f t="shared" si="6"/>
        <v>3</v>
      </c>
      <c r="H75" s="66" t="s">
        <v>48</v>
      </c>
      <c r="I75" s="4"/>
    </row>
    <row r="76" ht="15.75" customHeight="1">
      <c r="B76" s="62" t="s">
        <v>85</v>
      </c>
      <c r="E76" s="51"/>
      <c r="G76" s="65">
        <f t="shared" si="6"/>
        <v>4</v>
      </c>
      <c r="H76" s="66" t="s">
        <v>50</v>
      </c>
      <c r="I76" s="4"/>
    </row>
    <row r="77" ht="15.75" customHeight="1">
      <c r="B77" s="62" t="s">
        <v>86</v>
      </c>
      <c r="E77" s="51"/>
      <c r="G77" s="65">
        <f t="shared" si="6"/>
        <v>4</v>
      </c>
      <c r="H77" s="66" t="s">
        <v>50</v>
      </c>
      <c r="I77" s="4"/>
    </row>
    <row r="78" ht="15.75" customHeight="1">
      <c r="B78" s="62" t="s">
        <v>87</v>
      </c>
      <c r="E78" s="51"/>
      <c r="G78" s="65">
        <f t="shared" si="6"/>
        <v>3</v>
      </c>
      <c r="H78" s="66" t="s">
        <v>48</v>
      </c>
      <c r="I78" s="4"/>
    </row>
    <row r="79" ht="15.75" customHeight="1">
      <c r="G79" s="67"/>
      <c r="H79" s="51"/>
    </row>
    <row r="80" ht="15.75" customHeight="1">
      <c r="B80" s="62" t="s">
        <v>88</v>
      </c>
      <c r="E80" s="51"/>
      <c r="G80" s="68">
        <f>1-AVERAGE(G36,G46,G54,G64,G69)</f>
        <v>0.6361111111</v>
      </c>
      <c r="H80" s="64" t="str">
        <f>IF(G80&gt;80%,"Very High",IF(G80&lt;=20%,"Very Low",IF(G80&lt;=40%,"Low",IF(G80&lt;=60%,"Medium","High"))))</f>
        <v>High</v>
      </c>
      <c r="I80" s="4"/>
    </row>
    <row r="81" ht="15.75" customHeight="1">
      <c r="B81" s="62" t="s">
        <v>89</v>
      </c>
      <c r="E81" s="51"/>
      <c r="H81" s="69">
        <f>ROUND((G80)*10,0)</f>
        <v>6</v>
      </c>
      <c r="I81" s="4"/>
    </row>
    <row r="82" ht="15.75" customHeight="1"/>
    <row r="83" ht="15.75" customHeight="1">
      <c r="B83" s="2" t="s">
        <v>90</v>
      </c>
      <c r="C83" s="2"/>
    </row>
    <row r="84" ht="15.75" customHeight="1">
      <c r="B84" s="70" t="s">
        <v>91</v>
      </c>
      <c r="C84" s="62"/>
      <c r="D84" s="62"/>
      <c r="E84" s="62"/>
      <c r="F84" s="62"/>
      <c r="G84" s="67"/>
      <c r="H84" s="51"/>
      <c r="I84" s="51"/>
    </row>
    <row r="85" ht="15.75" customHeight="1">
      <c r="B85" s="62" t="s">
        <v>92</v>
      </c>
      <c r="G85" s="65">
        <f t="shared" ref="G85:G89" si="7">IF(H85="Strongly disagree",0,IF(H85="disagree",1,IF(H85="unclear",2,IF(H85="agree",3,4))))</f>
        <v>4</v>
      </c>
      <c r="H85" s="66" t="s">
        <v>50</v>
      </c>
      <c r="I85" s="4"/>
    </row>
    <row r="86" ht="15.75" customHeight="1">
      <c r="B86" s="62" t="s">
        <v>93</v>
      </c>
      <c r="C86" s="62"/>
      <c r="D86" s="62"/>
      <c r="E86" s="62"/>
      <c r="F86" s="62"/>
      <c r="G86" s="65">
        <f t="shared" si="7"/>
        <v>4</v>
      </c>
      <c r="H86" s="66" t="s">
        <v>50</v>
      </c>
      <c r="I86" s="4"/>
    </row>
    <row r="87" ht="15.75" customHeight="1">
      <c r="B87" s="62" t="s">
        <v>94</v>
      </c>
      <c r="G87" s="65">
        <f t="shared" si="7"/>
        <v>3</v>
      </c>
      <c r="H87" s="66" t="s">
        <v>48</v>
      </c>
      <c r="I87" s="4"/>
    </row>
    <row r="88" ht="15.75" customHeight="1">
      <c r="B88" s="62" t="s">
        <v>95</v>
      </c>
      <c r="G88" s="65">
        <f t="shared" si="7"/>
        <v>3</v>
      </c>
      <c r="H88" s="66" t="s">
        <v>48</v>
      </c>
      <c r="I88" s="4"/>
    </row>
    <row r="89" ht="15.75" customHeight="1">
      <c r="B89" s="62" t="s">
        <v>96</v>
      </c>
      <c r="G89" s="65">
        <f t="shared" si="7"/>
        <v>3</v>
      </c>
      <c r="H89" s="66" t="s">
        <v>48</v>
      </c>
      <c r="I89" s="4"/>
    </row>
    <row r="90" ht="15.75" customHeight="1">
      <c r="B90" s="71" t="s">
        <v>97</v>
      </c>
      <c r="H90" s="72">
        <f>IF(AVERAGE(G85:G89)&gt;=3,25%,IF(AVERAGE(G85:G89)&gt;=2,35%,IF(AVERAGE(G85:G89)&gt;=1,60%,100%)))</f>
        <v>0.25</v>
      </c>
      <c r="I90" s="4"/>
    </row>
    <row r="91" ht="15.75" customHeight="1">
      <c r="B91" s="70" t="s">
        <v>98</v>
      </c>
      <c r="C91" s="73"/>
    </row>
    <row r="92" ht="15.75" customHeight="1">
      <c r="B92" s="73" t="s">
        <v>99</v>
      </c>
      <c r="C92" s="73"/>
    </row>
    <row r="93" ht="15.75" customHeight="1">
      <c r="B93" s="62" t="s">
        <v>100</v>
      </c>
      <c r="G93" s="65">
        <f t="shared" ref="G93:G97" si="8">IF(H93="Strongly disagree",0,IF(H93="disagree",1,IF(H93="unclear",2,IF(H93="agree",3,4))))</f>
        <v>4</v>
      </c>
      <c r="H93" s="66" t="s">
        <v>50</v>
      </c>
      <c r="I93" s="4"/>
    </row>
    <row r="94" ht="15.75" customHeight="1">
      <c r="B94" s="62" t="s">
        <v>101</v>
      </c>
      <c r="G94" s="65">
        <f t="shared" si="8"/>
        <v>3</v>
      </c>
      <c r="H94" s="66" t="s">
        <v>48</v>
      </c>
      <c r="I94" s="4"/>
    </row>
    <row r="95" ht="15.75" customHeight="1">
      <c r="B95" s="62" t="s">
        <v>102</v>
      </c>
      <c r="G95" s="65">
        <f t="shared" si="8"/>
        <v>2</v>
      </c>
      <c r="H95" s="66" t="s">
        <v>54</v>
      </c>
      <c r="I95" s="4"/>
    </row>
    <row r="96" ht="15.75" customHeight="1">
      <c r="B96" s="62" t="s">
        <v>103</v>
      </c>
      <c r="G96" s="65">
        <f t="shared" si="8"/>
        <v>2</v>
      </c>
      <c r="H96" s="66" t="s">
        <v>54</v>
      </c>
      <c r="I96" s="4"/>
    </row>
    <row r="97" ht="15.75" customHeight="1">
      <c r="B97" s="62" t="s">
        <v>104</v>
      </c>
      <c r="G97" s="65">
        <f t="shared" si="8"/>
        <v>3</v>
      </c>
      <c r="H97" s="66" t="s">
        <v>48</v>
      </c>
      <c r="I97" s="4"/>
    </row>
    <row r="98" ht="15.75" customHeight="1">
      <c r="B98" s="73" t="s">
        <v>105</v>
      </c>
      <c r="G98" s="67"/>
      <c r="H98" s="51"/>
      <c r="I98" s="51"/>
    </row>
    <row r="99" ht="15.75" customHeight="1">
      <c r="B99" s="62" t="s">
        <v>106</v>
      </c>
      <c r="G99" s="65">
        <f t="shared" ref="G99:G103" si="9">IF(H99="Strongly disagree",0,IF(H99="disagree",1,IF(H99="unclear",2,IF(H99="agree",3,4))))</f>
        <v>3</v>
      </c>
      <c r="H99" s="66" t="s">
        <v>48</v>
      </c>
      <c r="I99" s="4"/>
    </row>
    <row r="100" ht="15.75" customHeight="1">
      <c r="B100" s="62" t="s">
        <v>107</v>
      </c>
      <c r="G100" s="65">
        <f t="shared" si="9"/>
        <v>1</v>
      </c>
      <c r="H100" s="66" t="s">
        <v>67</v>
      </c>
      <c r="I100" s="4"/>
    </row>
    <row r="101" ht="15.75" customHeight="1">
      <c r="B101" s="62" t="s">
        <v>108</v>
      </c>
      <c r="G101" s="65">
        <f t="shared" si="9"/>
        <v>3</v>
      </c>
      <c r="H101" s="66" t="s">
        <v>48</v>
      </c>
      <c r="I101" s="4"/>
    </row>
    <row r="102" ht="15.75" customHeight="1">
      <c r="B102" s="62" t="s">
        <v>109</v>
      </c>
      <c r="G102" s="65">
        <f t="shared" si="9"/>
        <v>4</v>
      </c>
      <c r="H102" s="66" t="s">
        <v>50</v>
      </c>
      <c r="I102" s="4"/>
    </row>
    <row r="103" ht="15.75" customHeight="1">
      <c r="B103" s="62" t="s">
        <v>110</v>
      </c>
      <c r="G103" s="65">
        <f t="shared" si="9"/>
        <v>3</v>
      </c>
      <c r="H103" s="66" t="s">
        <v>48</v>
      </c>
      <c r="I103" s="4"/>
    </row>
    <row r="104" ht="15.75" customHeight="1">
      <c r="B104" s="73" t="s">
        <v>111</v>
      </c>
      <c r="G104" s="67"/>
      <c r="H104" s="51"/>
      <c r="I104" s="51"/>
    </row>
    <row r="105" ht="15.75" customHeight="1">
      <c r="B105" s="62" t="s">
        <v>112</v>
      </c>
      <c r="G105" s="65">
        <f t="shared" ref="G105:G109" si="10">IF(H105="Strongly disagree",0,IF(H105="disagree",1,IF(H105="unclear",2,IF(H105="agree",3,4))))</f>
        <v>4</v>
      </c>
      <c r="H105" s="66" t="s">
        <v>50</v>
      </c>
      <c r="I105" s="4"/>
    </row>
    <row r="106" ht="15.75" customHeight="1">
      <c r="B106" s="62" t="s">
        <v>113</v>
      </c>
      <c r="G106" s="65">
        <f t="shared" si="10"/>
        <v>1</v>
      </c>
      <c r="H106" s="74" t="str">
        <f>IF(H80="Medium","unclear",IF(H80="Very Low","Strongly agree",IF(H80="Low","agree",IF(H80="Very High","Strongly agree","disagree"))))</f>
        <v>disagree</v>
      </c>
      <c r="I106" s="4"/>
    </row>
    <row r="107" ht="15.75" customHeight="1">
      <c r="B107" s="62" t="s">
        <v>114</v>
      </c>
      <c r="G107" s="65">
        <f t="shared" si="10"/>
        <v>3</v>
      </c>
      <c r="H107" s="66" t="s">
        <v>48</v>
      </c>
      <c r="I107" s="4"/>
    </row>
    <row r="108" ht="15.75" customHeight="1">
      <c r="B108" s="62" t="s">
        <v>115</v>
      </c>
      <c r="G108" s="65">
        <f t="shared" si="10"/>
        <v>3</v>
      </c>
      <c r="H108" s="66" t="s">
        <v>48</v>
      </c>
      <c r="I108" s="4"/>
    </row>
    <row r="109" ht="15.75" customHeight="1">
      <c r="B109" s="62" t="s">
        <v>116</v>
      </c>
      <c r="G109" s="65">
        <f t="shared" si="10"/>
        <v>3</v>
      </c>
      <c r="H109" s="66" t="s">
        <v>48</v>
      </c>
      <c r="I109" s="4"/>
    </row>
    <row r="110" ht="15.75" customHeight="1">
      <c r="B110" s="73" t="s">
        <v>117</v>
      </c>
      <c r="G110" s="67"/>
      <c r="H110" s="51"/>
      <c r="I110" s="51"/>
    </row>
    <row r="111" ht="15.75" customHeight="1">
      <c r="B111" s="62" t="s">
        <v>118</v>
      </c>
      <c r="G111" s="65">
        <f t="shared" ref="G111:G115" si="11">IF(H111="Strongly disagree",0,IF(H111="disagree",1,IF(H111="unclear",2,IF(H111="agree",3,4))))</f>
        <v>4</v>
      </c>
      <c r="H111" s="66" t="s">
        <v>50</v>
      </c>
      <c r="I111" s="4"/>
    </row>
    <row r="112" ht="15.75" customHeight="1">
      <c r="B112" s="62" t="s">
        <v>119</v>
      </c>
      <c r="G112" s="65">
        <f t="shared" si="11"/>
        <v>3</v>
      </c>
      <c r="H112" s="66" t="s">
        <v>48</v>
      </c>
      <c r="I112" s="4"/>
    </row>
    <row r="113" ht="15.75" customHeight="1">
      <c r="B113" s="62" t="s">
        <v>120</v>
      </c>
      <c r="G113" s="65">
        <f t="shared" si="11"/>
        <v>4</v>
      </c>
      <c r="H113" s="66" t="s">
        <v>50</v>
      </c>
      <c r="I113" s="4"/>
    </row>
    <row r="114" ht="15.75" customHeight="1">
      <c r="B114" s="62" t="s">
        <v>121</v>
      </c>
      <c r="G114" s="65">
        <f t="shared" si="11"/>
        <v>3</v>
      </c>
      <c r="H114" s="66" t="s">
        <v>48</v>
      </c>
      <c r="I114" s="4"/>
    </row>
    <row r="115" ht="15.75" customHeight="1">
      <c r="B115" s="62" t="s">
        <v>122</v>
      </c>
      <c r="G115" s="65">
        <f t="shared" si="11"/>
        <v>3</v>
      </c>
      <c r="H115" s="66" t="s">
        <v>48</v>
      </c>
      <c r="I115" s="4"/>
    </row>
    <row r="116" ht="15.75" customHeight="1">
      <c r="B116" s="71" t="s">
        <v>123</v>
      </c>
      <c r="G116" s="63">
        <f>AVERAGE(AVERAGE(G93:G97),AVERAGE(G99:G103),AVERAGE(G105:G109),AVERAGE(G111:G115))/4</f>
        <v>0.7375</v>
      </c>
      <c r="H116" s="75" t="str">
        <f>IF(G116&gt;80%,"Very Good",IF(G116&lt;=20%,"Very Poor",IF(G116&lt;=40%,"Poor",IF(G116&lt;=60%,"ok","Good"))))</f>
        <v>Good</v>
      </c>
      <c r="I116" s="4"/>
    </row>
    <row r="117" ht="15.75" customHeight="1">
      <c r="B117" s="76" t="s">
        <v>124</v>
      </c>
      <c r="C117" s="62"/>
      <c r="D117" s="77"/>
      <c r="F117" s="62"/>
      <c r="G117" s="78">
        <f>1-G116</f>
        <v>0.2625</v>
      </c>
      <c r="H117" s="79">
        <f>(H90-10%)*G117+10%</f>
        <v>0.139375</v>
      </c>
      <c r="I117" s="4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H52:I52"/>
    <mergeCell ref="H54:I54"/>
    <mergeCell ref="H55:I55"/>
    <mergeCell ref="H56:I56"/>
    <mergeCell ref="H57:I57"/>
    <mergeCell ref="H58:I58"/>
    <mergeCell ref="H59:I59"/>
    <mergeCell ref="H60:I60"/>
    <mergeCell ref="H61:I61"/>
    <mergeCell ref="H62:I62"/>
    <mergeCell ref="H64:I64"/>
    <mergeCell ref="H65:I65"/>
    <mergeCell ref="H66:I66"/>
    <mergeCell ref="H67:I67"/>
    <mergeCell ref="H76:I76"/>
    <mergeCell ref="H77:I77"/>
    <mergeCell ref="H78:I78"/>
    <mergeCell ref="H80:I80"/>
    <mergeCell ref="H81:I81"/>
    <mergeCell ref="H85:I85"/>
    <mergeCell ref="H86:I86"/>
    <mergeCell ref="H87:I87"/>
    <mergeCell ref="H88:I88"/>
    <mergeCell ref="H89:I89"/>
    <mergeCell ref="H90:I90"/>
    <mergeCell ref="H93:I93"/>
    <mergeCell ref="H94:I94"/>
    <mergeCell ref="H95:I95"/>
    <mergeCell ref="H96:I96"/>
    <mergeCell ref="H97:I97"/>
    <mergeCell ref="H99:I99"/>
    <mergeCell ref="H100:I100"/>
    <mergeCell ref="H101:I101"/>
    <mergeCell ref="H102:I102"/>
    <mergeCell ref="H103:I103"/>
    <mergeCell ref="H113:I113"/>
    <mergeCell ref="H114:I114"/>
    <mergeCell ref="H115:I115"/>
    <mergeCell ref="H116:I116"/>
    <mergeCell ref="H117:I117"/>
    <mergeCell ref="H105:I105"/>
    <mergeCell ref="H106:I106"/>
    <mergeCell ref="H107:I107"/>
    <mergeCell ref="H108:I108"/>
    <mergeCell ref="H109:I109"/>
    <mergeCell ref="H111:I111"/>
    <mergeCell ref="H112:I112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15:D15"/>
    <mergeCell ref="E15:F15"/>
    <mergeCell ref="C16:D16"/>
    <mergeCell ref="E16:F16"/>
    <mergeCell ref="C17:F17"/>
    <mergeCell ref="C18:D18"/>
    <mergeCell ref="E18:F18"/>
    <mergeCell ref="C19:D19"/>
    <mergeCell ref="E19:F19"/>
    <mergeCell ref="G19:H19"/>
    <mergeCell ref="C20:F20"/>
    <mergeCell ref="C23:I23"/>
    <mergeCell ref="C24:I24"/>
    <mergeCell ref="C25:I25"/>
    <mergeCell ref="C27:C28"/>
    <mergeCell ref="F27:F28"/>
    <mergeCell ref="D28:E28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69:I69"/>
    <mergeCell ref="H70:I70"/>
    <mergeCell ref="H71:I71"/>
    <mergeCell ref="H72:I72"/>
    <mergeCell ref="H73:I73"/>
    <mergeCell ref="H74:I74"/>
    <mergeCell ref="H75:I75"/>
  </mergeCells>
  <conditionalFormatting sqref="E36:E81">
    <cfRule type="notContainsBlanks" dxfId="0" priority="1">
      <formula>LEN(TRIM(E36))&gt;0</formula>
    </cfRule>
  </conditionalFormatting>
  <dataValidations>
    <dataValidation type="list" allowBlank="1" sqref="H36 H46 H54 H64 H69">
      <formula1>"Very High,High,Medium,Low,Very Low"</formula1>
    </dataValidation>
    <dataValidation type="list" allowBlank="1" sqref="H37:H44 H47:H52 H55:H62 H65:H67 H70:H78 H85:H89 H93:H97 H99:H103 H105 H107:H109 H111:H115">
      <formula1>"Strongly agree,agree,unclear,disagree,Strongly disagree"</formula1>
    </dataValidation>
    <dataValidation type="list" allowBlank="1" sqref="C6">
      <formula1>"HK,US:NASDAQ,CN"</formula1>
    </dataValidation>
    <dataValidation type="list" allowBlank="1" sqref="C12">
      <formula1>"HKD,USD,CNY,EUR"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26.63"/>
    <col customWidth="1" min="3" max="4" width="17.63"/>
    <col customWidth="1" min="5" max="5" width="20.88"/>
    <col customWidth="1" min="6" max="13" width="17.63"/>
  </cols>
  <sheetData>
    <row r="1" ht="8.25" customHeight="1">
      <c r="A1" s="80"/>
      <c r="B1" s="81"/>
      <c r="C1" s="67"/>
      <c r="D1" s="67"/>
      <c r="E1" s="67"/>
      <c r="F1" s="67"/>
    </row>
    <row r="2" ht="15.75" customHeight="1">
      <c r="A2" s="80"/>
      <c r="B2" s="82" t="s">
        <v>125</v>
      </c>
      <c r="C2" s="83"/>
      <c r="D2" s="83"/>
      <c r="E2" s="83"/>
      <c r="F2" s="83"/>
    </row>
    <row r="3" ht="15.75" customHeight="1">
      <c r="A3" s="29"/>
      <c r="B3" s="62" t="s">
        <v>126</v>
      </c>
      <c r="C3" s="84">
        <v>2021.0</v>
      </c>
      <c r="E3" s="62" t="s">
        <v>127</v>
      </c>
      <c r="F3" s="85">
        <v>1000.0</v>
      </c>
      <c r="H3" s="1" t="s">
        <v>128</v>
      </c>
      <c r="J3" s="86">
        <f>(C9/G9)^(1/5)-1</f>
        <v>-0.3296620812</v>
      </c>
    </row>
    <row r="4" ht="15.75" customHeight="1">
      <c r="A4" s="29"/>
      <c r="B4" s="62" t="s">
        <v>129</v>
      </c>
      <c r="C4" s="84" t="s">
        <v>130</v>
      </c>
      <c r="E4" s="62" t="s">
        <v>131</v>
      </c>
      <c r="F4" s="87">
        <v>-158750.0</v>
      </c>
    </row>
    <row r="5" ht="15.75" customHeight="1">
      <c r="A5" s="29"/>
    </row>
    <row r="6" ht="15.75" customHeight="1">
      <c r="A6" s="29"/>
      <c r="B6" s="88"/>
      <c r="C6" s="89" t="str">
        <f>IF($C$4="H1","LTM ","FY ")&amp;$C$3</f>
        <v>FY 2021</v>
      </c>
      <c r="D6" s="89" t="str">
        <f>IF($C$4="H1","LTM ","FY ")&amp;$C$3-1</f>
        <v>FY 2020</v>
      </c>
      <c r="E6" s="89" t="str">
        <f>IF($C$4="H1","LTM ","FY ")&amp;$C$3-2</f>
        <v>FY 2019</v>
      </c>
      <c r="F6" s="89" t="str">
        <f>IF($C$4="H1","LTM ","FY ")&amp;$C$3-3</f>
        <v>FY 2018</v>
      </c>
      <c r="G6" s="89" t="str">
        <f>IF($C$4="H1","LTM ","FY ")&amp;$C$3-4</f>
        <v>FY 2017</v>
      </c>
      <c r="H6" s="89" t="str">
        <f>IF($C$4="H1","LTM ","FY ")&amp;$C$3-5</f>
        <v>FY 2016</v>
      </c>
      <c r="I6" s="89" t="str">
        <f>IF($C$4="H1","LTM ","FY ")&amp;$C$3-6</f>
        <v>FY 2015</v>
      </c>
      <c r="J6" s="89" t="str">
        <f>IF($C$4="H1","LTM ","FY ")&amp;$C$3-7</f>
        <v>FY 2014</v>
      </c>
      <c r="K6" s="89" t="str">
        <f>IF($C$4="H1","LTM ","FY ")&amp;$C$3-8</f>
        <v>FY 2013</v>
      </c>
      <c r="L6" s="89" t="str">
        <f>IF($C$4="H1","LTM ","FY ")&amp;$C$3-9</f>
        <v>FY 2012</v>
      </c>
      <c r="M6" s="89" t="str">
        <f>IF($C$4="H1","LTM ","FY ")&amp;$C$3-10</f>
        <v>FY 2011</v>
      </c>
    </row>
    <row r="7" ht="15.75" customHeight="1">
      <c r="A7" s="29"/>
      <c r="B7" s="90" t="s">
        <v>132</v>
      </c>
      <c r="C7" s="87">
        <v>6501215.0</v>
      </c>
      <c r="D7" s="87">
        <v>7519817.0</v>
      </c>
      <c r="E7" s="87">
        <v>7232641.0</v>
      </c>
      <c r="F7" s="87">
        <v>7526495.0</v>
      </c>
      <c r="G7" s="87">
        <v>6464525.0</v>
      </c>
      <c r="H7" s="85"/>
      <c r="I7" s="85"/>
      <c r="J7" s="85"/>
      <c r="K7" s="85"/>
      <c r="L7" s="85"/>
      <c r="M7" s="85"/>
    </row>
    <row r="8" ht="15.75" customHeight="1">
      <c r="A8" s="29"/>
      <c r="B8" s="90" t="s">
        <v>133</v>
      </c>
      <c r="C8" s="91">
        <f t="shared" ref="C8:L8" si="1">IF(D7="","",C7/D7-1)</f>
        <v>-0.1354556899</v>
      </c>
      <c r="D8" s="91">
        <f t="shared" si="1"/>
        <v>0.03970555154</v>
      </c>
      <c r="E8" s="91">
        <f t="shared" si="1"/>
        <v>-0.03904260881</v>
      </c>
      <c r="F8" s="91">
        <f t="shared" si="1"/>
        <v>0.164276571</v>
      </c>
      <c r="G8" s="91" t="str">
        <f t="shared" si="1"/>
        <v/>
      </c>
      <c r="H8" s="91" t="str">
        <f t="shared" si="1"/>
        <v/>
      </c>
      <c r="I8" s="91" t="str">
        <f t="shared" si="1"/>
        <v/>
      </c>
      <c r="J8" s="91" t="str">
        <f t="shared" si="1"/>
        <v/>
      </c>
      <c r="K8" s="91" t="str">
        <f t="shared" si="1"/>
        <v/>
      </c>
      <c r="L8" s="91" t="str">
        <f t="shared" si="1"/>
        <v/>
      </c>
      <c r="M8" s="92"/>
    </row>
    <row r="9" ht="15.75" customHeight="1">
      <c r="A9" s="29"/>
      <c r="B9" s="90" t="s">
        <v>134</v>
      </c>
      <c r="C9" s="87">
        <v>153124.0</v>
      </c>
      <c r="D9" s="87">
        <v>1116872.0</v>
      </c>
      <c r="E9" s="87">
        <v>1022154.0</v>
      </c>
      <c r="F9" s="87">
        <v>1302035.0</v>
      </c>
      <c r="G9" s="87">
        <v>1131291.0</v>
      </c>
      <c r="H9" s="85"/>
      <c r="I9" s="85"/>
      <c r="J9" s="85"/>
      <c r="K9" s="85"/>
      <c r="L9" s="85"/>
      <c r="M9" s="85"/>
    </row>
    <row r="10" ht="15.75" customHeight="1">
      <c r="A10" s="29"/>
      <c r="B10" s="90" t="s">
        <v>135</v>
      </c>
      <c r="C10" s="91">
        <f t="shared" ref="C10:M10" si="2">IF(C9="","",C9/C7)</f>
        <v>0.02355313584</v>
      </c>
      <c r="D10" s="91">
        <f t="shared" si="2"/>
        <v>0.1485238271</v>
      </c>
      <c r="E10" s="91">
        <f t="shared" si="2"/>
        <v>0.1413251397</v>
      </c>
      <c r="F10" s="91">
        <f t="shared" si="2"/>
        <v>0.1729935382</v>
      </c>
      <c r="G10" s="91">
        <f t="shared" si="2"/>
        <v>0.1749998646</v>
      </c>
      <c r="H10" s="91" t="str">
        <f t="shared" si="2"/>
        <v/>
      </c>
      <c r="I10" s="91" t="str">
        <f t="shared" si="2"/>
        <v/>
      </c>
      <c r="J10" s="91" t="str">
        <f t="shared" si="2"/>
        <v/>
      </c>
      <c r="K10" s="91" t="str">
        <f t="shared" si="2"/>
        <v/>
      </c>
      <c r="L10" s="91" t="str">
        <f t="shared" si="2"/>
        <v/>
      </c>
      <c r="M10" s="91" t="str">
        <f t="shared" si="2"/>
        <v/>
      </c>
    </row>
    <row r="11" ht="15.75" customHeight="1">
      <c r="A11" s="29"/>
      <c r="B11" s="90" t="s">
        <v>38</v>
      </c>
      <c r="C11" s="91">
        <f t="shared" ref="C11:L11" si="3">IF(D9="","",C9/D9-1)</f>
        <v>-0.86289924</v>
      </c>
      <c r="D11" s="91">
        <f t="shared" si="3"/>
        <v>0.09266509743</v>
      </c>
      <c r="E11" s="91">
        <f t="shared" si="3"/>
        <v>-0.2149565872</v>
      </c>
      <c r="F11" s="91">
        <f t="shared" si="3"/>
        <v>0.1509284525</v>
      </c>
      <c r="G11" s="91" t="str">
        <f t="shared" si="3"/>
        <v/>
      </c>
      <c r="H11" s="91" t="str">
        <f t="shared" si="3"/>
        <v/>
      </c>
      <c r="I11" s="91" t="str">
        <f t="shared" si="3"/>
        <v/>
      </c>
      <c r="J11" s="91" t="str">
        <f t="shared" si="3"/>
        <v/>
      </c>
      <c r="K11" s="91" t="str">
        <f t="shared" si="3"/>
        <v/>
      </c>
      <c r="L11" s="91" t="str">
        <f t="shared" si="3"/>
        <v/>
      </c>
      <c r="M11" s="92"/>
    </row>
    <row r="12" ht="15.75" customHeight="1">
      <c r="A12" s="29"/>
      <c r="B12" s="90" t="s">
        <v>136</v>
      </c>
      <c r="C12" s="93">
        <f t="shared" ref="C12:M12" si="4">IF(C9="","",C9*(1-$F$53))</f>
        <v>104736.816</v>
      </c>
      <c r="D12" s="93">
        <f t="shared" si="4"/>
        <v>763940.448</v>
      </c>
      <c r="E12" s="93">
        <f t="shared" si="4"/>
        <v>699153.336</v>
      </c>
      <c r="F12" s="93">
        <f t="shared" si="4"/>
        <v>890591.94</v>
      </c>
      <c r="G12" s="93">
        <f t="shared" si="4"/>
        <v>773803.044</v>
      </c>
      <c r="H12" s="93" t="str">
        <f t="shared" si="4"/>
        <v/>
      </c>
      <c r="I12" s="93" t="str">
        <f t="shared" si="4"/>
        <v/>
      </c>
      <c r="J12" s="93" t="str">
        <f t="shared" si="4"/>
        <v/>
      </c>
      <c r="K12" s="93" t="str">
        <f t="shared" si="4"/>
        <v/>
      </c>
      <c r="L12" s="93" t="str">
        <f t="shared" si="4"/>
        <v/>
      </c>
      <c r="M12" s="93" t="str">
        <f t="shared" si="4"/>
        <v/>
      </c>
    </row>
    <row r="13" ht="15.75" customHeight="1">
      <c r="A13" s="29"/>
      <c r="B13" s="90" t="s">
        <v>137</v>
      </c>
      <c r="C13" s="87">
        <v>23071.0</v>
      </c>
      <c r="D13" s="87">
        <v>11770.0</v>
      </c>
      <c r="E13" s="87">
        <v>10932.0</v>
      </c>
      <c r="F13" s="87">
        <v>2086.0</v>
      </c>
      <c r="G13" s="87">
        <v>1700.0</v>
      </c>
      <c r="H13" s="85"/>
      <c r="I13" s="85"/>
      <c r="J13" s="85"/>
      <c r="K13" s="85"/>
      <c r="L13" s="85"/>
      <c r="M13" s="85"/>
    </row>
    <row r="14" ht="15.75" customHeight="1">
      <c r="A14" s="29"/>
      <c r="B14" s="90" t="s">
        <v>138</v>
      </c>
      <c r="C14" s="94">
        <v>0.316</v>
      </c>
      <c r="D14" s="94">
        <v>0.2311</v>
      </c>
      <c r="E14" s="94">
        <v>0.1612</v>
      </c>
      <c r="F14" s="94">
        <v>0.2178</v>
      </c>
      <c r="G14" s="94">
        <v>0.2002</v>
      </c>
      <c r="H14" s="25"/>
      <c r="I14" s="25"/>
      <c r="J14" s="25"/>
      <c r="K14" s="25"/>
      <c r="L14" s="25"/>
      <c r="M14" s="25"/>
    </row>
    <row r="15" ht="15.75" customHeight="1">
      <c r="A15" s="29"/>
      <c r="B15" s="90" t="s">
        <v>139</v>
      </c>
      <c r="C15" s="87">
        <v>2556163.0</v>
      </c>
      <c r="D15" s="87">
        <v>2969750.0</v>
      </c>
      <c r="E15" s="87">
        <v>2517202.0</v>
      </c>
      <c r="F15" s="87">
        <v>2775051.0</v>
      </c>
      <c r="G15" s="87">
        <v>2660159.0</v>
      </c>
      <c r="H15" s="85"/>
      <c r="I15" s="85"/>
      <c r="J15" s="85"/>
      <c r="K15" s="85"/>
      <c r="L15" s="85"/>
      <c r="M15" s="85"/>
    </row>
    <row r="16" ht="15.75" customHeight="1">
      <c r="A16" s="29"/>
      <c r="B16" s="90" t="s">
        <v>140</v>
      </c>
      <c r="C16" s="87">
        <v>3031587.0</v>
      </c>
      <c r="D16" s="87">
        <v>3083974.0</v>
      </c>
      <c r="E16" s="87">
        <v>2702996.0</v>
      </c>
      <c r="F16" s="87">
        <v>2287044.0</v>
      </c>
      <c r="G16" s="87">
        <v>1923043.0</v>
      </c>
      <c r="H16" s="85"/>
      <c r="I16" s="85"/>
      <c r="J16" s="85"/>
      <c r="K16" s="85"/>
      <c r="L16" s="85"/>
      <c r="M16" s="85"/>
    </row>
    <row r="17" ht="15.75" customHeight="1">
      <c r="A17" s="29"/>
      <c r="B17" s="90" t="s">
        <v>141</v>
      </c>
      <c r="C17" s="87">
        <v>586730.0</v>
      </c>
      <c r="D17" s="87">
        <v>223888.0</v>
      </c>
      <c r="E17" s="87">
        <v>331381.0</v>
      </c>
      <c r="F17" s="87">
        <v>44508.0</v>
      </c>
      <c r="G17" s="87">
        <v>28006.0</v>
      </c>
      <c r="H17" s="85"/>
      <c r="I17" s="85"/>
      <c r="J17" s="85"/>
      <c r="K17" s="85"/>
      <c r="L17" s="85"/>
      <c r="M17" s="85"/>
    </row>
    <row r="18" ht="15.75" customHeight="1">
      <c r="A18" s="29"/>
      <c r="B18" s="90" t="s">
        <v>142</v>
      </c>
      <c r="C18" s="87">
        <v>90856.0</v>
      </c>
      <c r="D18" s="87">
        <v>111853.0</v>
      </c>
      <c r="E18" s="87">
        <v>153617.0</v>
      </c>
      <c r="F18" s="87">
        <v>0.0</v>
      </c>
      <c r="G18" s="87">
        <v>0.0</v>
      </c>
      <c r="H18" s="85"/>
      <c r="I18" s="85"/>
      <c r="J18" s="85"/>
      <c r="K18" s="85"/>
      <c r="L18" s="85"/>
      <c r="M18" s="85"/>
    </row>
    <row r="19" ht="15.75" customHeight="1">
      <c r="A19" s="29"/>
      <c r="B19" s="90" t="s">
        <v>143</v>
      </c>
      <c r="C19" s="93">
        <f t="shared" ref="C19:M19" si="5">IF(C7="","",C17+C18)</f>
        <v>677586</v>
      </c>
      <c r="D19" s="93">
        <f t="shared" si="5"/>
        <v>335741</v>
      </c>
      <c r="E19" s="93">
        <f t="shared" si="5"/>
        <v>484998</v>
      </c>
      <c r="F19" s="93">
        <f t="shared" si="5"/>
        <v>44508</v>
      </c>
      <c r="G19" s="93">
        <f t="shared" si="5"/>
        <v>28006</v>
      </c>
      <c r="H19" s="93" t="str">
        <f t="shared" si="5"/>
        <v/>
      </c>
      <c r="I19" s="93" t="str">
        <f t="shared" si="5"/>
        <v/>
      </c>
      <c r="J19" s="93" t="str">
        <f t="shared" si="5"/>
        <v/>
      </c>
      <c r="K19" s="93" t="str">
        <f t="shared" si="5"/>
        <v/>
      </c>
      <c r="L19" s="93" t="str">
        <f t="shared" si="5"/>
        <v/>
      </c>
      <c r="M19" s="93" t="str">
        <f t="shared" si="5"/>
        <v/>
      </c>
    </row>
    <row r="20" ht="15.75" customHeight="1">
      <c r="A20" s="29"/>
      <c r="B20" s="90" t="s">
        <v>144</v>
      </c>
      <c r="C20" s="87">
        <v>3569099.0</v>
      </c>
      <c r="D20" s="87">
        <v>3956874.0</v>
      </c>
      <c r="E20" s="87">
        <v>3418104.0</v>
      </c>
      <c r="F20" s="87">
        <v>3469560.0</v>
      </c>
      <c r="G20" s="87">
        <v>3169146.0</v>
      </c>
      <c r="H20" s="85"/>
      <c r="I20" s="85"/>
      <c r="J20" s="85"/>
      <c r="K20" s="85"/>
      <c r="L20" s="85"/>
      <c r="M20" s="85"/>
    </row>
    <row r="21" ht="15.75" customHeight="1">
      <c r="A21" s="29"/>
      <c r="B21" s="90" t="s">
        <v>145</v>
      </c>
      <c r="C21" s="87">
        <v>311186.0</v>
      </c>
      <c r="D21" s="87">
        <v>340821.0</v>
      </c>
      <c r="E21" s="87">
        <v>289714.0</v>
      </c>
      <c r="F21" s="87">
        <v>304148.0</v>
      </c>
      <c r="G21" s="87">
        <v>259389.0</v>
      </c>
      <c r="H21" s="85"/>
      <c r="I21" s="85"/>
      <c r="J21" s="85"/>
      <c r="K21" s="85"/>
      <c r="L21" s="85"/>
      <c r="M21" s="85"/>
    </row>
    <row r="22" ht="15.75" customHeight="1">
      <c r="A22" s="29"/>
      <c r="B22" s="90" t="s">
        <v>146</v>
      </c>
      <c r="C22" s="87">
        <v>621365.0</v>
      </c>
      <c r="D22" s="87">
        <v>970026.0</v>
      </c>
      <c r="E22" s="87">
        <v>847809.0</v>
      </c>
      <c r="F22" s="87">
        <v>1004538.0</v>
      </c>
      <c r="G22" s="87">
        <v>985185.0</v>
      </c>
      <c r="H22" s="85"/>
      <c r="I22" s="85"/>
      <c r="J22" s="85"/>
      <c r="K22" s="85"/>
      <c r="L22" s="85"/>
      <c r="M22" s="85"/>
    </row>
    <row r="23" ht="15.75" customHeight="1">
      <c r="A23" s="29"/>
      <c r="B23" s="90" t="s">
        <v>147</v>
      </c>
      <c r="C23" s="87">
        <v>0.0</v>
      </c>
      <c r="D23" s="87">
        <v>0.0</v>
      </c>
      <c r="E23" s="87">
        <v>0.0</v>
      </c>
      <c r="F23" s="87">
        <v>0.0</v>
      </c>
      <c r="G23" s="87">
        <v>0.0</v>
      </c>
      <c r="H23" s="85"/>
      <c r="I23" s="85"/>
      <c r="J23" s="85"/>
      <c r="K23" s="85"/>
      <c r="L23" s="85"/>
      <c r="M23" s="85"/>
    </row>
    <row r="24" ht="15.75" customHeight="1">
      <c r="A24" s="29"/>
      <c r="B24" s="90" t="s">
        <v>148</v>
      </c>
      <c r="C24" s="93">
        <f t="shared" ref="C24:M24" si="6">IF(C20="","",C19+C20-C22)</f>
        <v>3625320</v>
      </c>
      <c r="D24" s="93">
        <f t="shared" si="6"/>
        <v>3322589</v>
      </c>
      <c r="E24" s="93">
        <f t="shared" si="6"/>
        <v>3055293</v>
      </c>
      <c r="F24" s="93">
        <f t="shared" si="6"/>
        <v>2509530</v>
      </c>
      <c r="G24" s="93">
        <f t="shared" si="6"/>
        <v>2211967</v>
      </c>
      <c r="H24" s="93" t="str">
        <f t="shared" si="6"/>
        <v/>
      </c>
      <c r="I24" s="93" t="str">
        <f t="shared" si="6"/>
        <v/>
      </c>
      <c r="J24" s="93" t="str">
        <f t="shared" si="6"/>
        <v/>
      </c>
      <c r="K24" s="93" t="str">
        <f t="shared" si="6"/>
        <v/>
      </c>
      <c r="L24" s="93" t="str">
        <f t="shared" si="6"/>
        <v/>
      </c>
      <c r="M24" s="93" t="str">
        <f t="shared" si="6"/>
        <v/>
      </c>
    </row>
    <row r="25" ht="15.75" customHeight="1">
      <c r="A25" s="29"/>
      <c r="B25" s="90" t="s">
        <v>149</v>
      </c>
      <c r="C25" s="87">
        <v>-174500.0</v>
      </c>
      <c r="D25" s="87">
        <v>430713.0</v>
      </c>
      <c r="E25" s="87">
        <v>949127.0</v>
      </c>
      <c r="F25" s="87">
        <v>481137.0</v>
      </c>
      <c r="G25" s="87">
        <v>2281741.0</v>
      </c>
      <c r="H25" s="85"/>
      <c r="I25" s="85"/>
      <c r="J25" s="85"/>
      <c r="K25" s="85"/>
      <c r="L25" s="85"/>
      <c r="M25" s="95"/>
    </row>
    <row r="26" ht="15.75" customHeight="1">
      <c r="A26" s="29"/>
      <c r="B26" s="90" t="s">
        <v>150</v>
      </c>
      <c r="C26" s="91">
        <f t="shared" ref="C26:L26" si="7">IF(D20="","",C25/C7)</f>
        <v>-0.02684113662</v>
      </c>
      <c r="D26" s="91">
        <f t="shared" si="7"/>
        <v>0.05727705874</v>
      </c>
      <c r="E26" s="91">
        <f t="shared" si="7"/>
        <v>0.1312282747</v>
      </c>
      <c r="F26" s="91">
        <f t="shared" si="7"/>
        <v>0.06392577156</v>
      </c>
      <c r="G26" s="91" t="str">
        <f t="shared" si="7"/>
        <v/>
      </c>
      <c r="H26" s="91" t="str">
        <f t="shared" si="7"/>
        <v/>
      </c>
      <c r="I26" s="91" t="str">
        <f t="shared" si="7"/>
        <v/>
      </c>
      <c r="J26" s="91" t="str">
        <f t="shared" si="7"/>
        <v/>
      </c>
      <c r="K26" s="91" t="str">
        <f t="shared" si="7"/>
        <v/>
      </c>
      <c r="L26" s="91" t="str">
        <f t="shared" si="7"/>
        <v/>
      </c>
      <c r="M26" s="95"/>
    </row>
    <row r="27" ht="15.75" customHeight="1">
      <c r="A27" s="29"/>
      <c r="B27" s="90" t="s">
        <v>151</v>
      </c>
      <c r="C27" s="93">
        <f t="shared" ref="C27:M27" si="8">IF(C15="","",(C15-C22)-(C16-C17))</f>
        <v>-510059</v>
      </c>
      <c r="D27" s="93">
        <f t="shared" si="8"/>
        <v>-860362</v>
      </c>
      <c r="E27" s="93">
        <f t="shared" si="8"/>
        <v>-702222</v>
      </c>
      <c r="F27" s="93">
        <f t="shared" si="8"/>
        <v>-472023</v>
      </c>
      <c r="G27" s="93">
        <f t="shared" si="8"/>
        <v>-220063</v>
      </c>
      <c r="H27" s="93" t="str">
        <f t="shared" si="8"/>
        <v/>
      </c>
      <c r="I27" s="93" t="str">
        <f t="shared" si="8"/>
        <v/>
      </c>
      <c r="J27" s="93" t="str">
        <f t="shared" si="8"/>
        <v/>
      </c>
      <c r="K27" s="93" t="str">
        <f t="shared" si="8"/>
        <v/>
      </c>
      <c r="L27" s="93" t="str">
        <f t="shared" si="8"/>
        <v/>
      </c>
      <c r="M27" s="93" t="str">
        <f t="shared" si="8"/>
        <v/>
      </c>
    </row>
    <row r="28" ht="15.75" customHeight="1">
      <c r="A28" s="29"/>
      <c r="B28" s="90" t="s">
        <v>152</v>
      </c>
      <c r="C28" s="93">
        <f t="shared" ref="C28:L28" si="9">IF(D27="","",C27-D27)</f>
        <v>350303</v>
      </c>
      <c r="D28" s="93">
        <f t="shared" si="9"/>
        <v>-158140</v>
      </c>
      <c r="E28" s="93">
        <f t="shared" si="9"/>
        <v>-230199</v>
      </c>
      <c r="F28" s="93">
        <f t="shared" si="9"/>
        <v>-251960</v>
      </c>
      <c r="G28" s="93" t="str">
        <f t="shared" si="9"/>
        <v/>
      </c>
      <c r="H28" s="93" t="str">
        <f t="shared" si="9"/>
        <v/>
      </c>
      <c r="I28" s="93" t="str">
        <f t="shared" si="9"/>
        <v/>
      </c>
      <c r="J28" s="93" t="str">
        <f t="shared" si="9"/>
        <v/>
      </c>
      <c r="K28" s="93" t="str">
        <f t="shared" si="9"/>
        <v/>
      </c>
      <c r="L28" s="93" t="str">
        <f t="shared" si="9"/>
        <v/>
      </c>
      <c r="M28" s="92"/>
    </row>
    <row r="29" ht="15.75" customHeight="1">
      <c r="A29" s="29"/>
      <c r="B29" s="90" t="s">
        <v>153</v>
      </c>
      <c r="C29" s="91">
        <f t="shared" ref="C29:M29" si="10">IF(C20="","",C27/C7)</f>
        <v>-0.07845595016</v>
      </c>
      <c r="D29" s="91">
        <f t="shared" si="10"/>
        <v>-0.1144126247</v>
      </c>
      <c r="E29" s="91">
        <f t="shared" si="10"/>
        <v>-0.09709067545</v>
      </c>
      <c r="F29" s="91">
        <f t="shared" si="10"/>
        <v>-0.06271484934</v>
      </c>
      <c r="G29" s="91">
        <f t="shared" si="10"/>
        <v>-0.03404163492</v>
      </c>
      <c r="H29" s="91" t="str">
        <f t="shared" si="10"/>
        <v/>
      </c>
      <c r="I29" s="91" t="str">
        <f t="shared" si="10"/>
        <v/>
      </c>
      <c r="J29" s="91" t="str">
        <f t="shared" si="10"/>
        <v/>
      </c>
      <c r="K29" s="91" t="str">
        <f t="shared" si="10"/>
        <v/>
      </c>
      <c r="L29" s="91" t="str">
        <f t="shared" si="10"/>
        <v/>
      </c>
      <c r="M29" s="91" t="str">
        <f t="shared" si="10"/>
        <v/>
      </c>
    </row>
    <row r="30" ht="15.75" customHeight="1">
      <c r="A30" s="29"/>
      <c r="B30" s="90" t="s">
        <v>154</v>
      </c>
      <c r="C30" s="93">
        <f t="shared" ref="C30:L30" si="11">IF(C28="","",C25+C28)</f>
        <v>175803</v>
      </c>
      <c r="D30" s="93">
        <f t="shared" si="11"/>
        <v>272573</v>
      </c>
      <c r="E30" s="93">
        <f t="shared" si="11"/>
        <v>718928</v>
      </c>
      <c r="F30" s="93">
        <f t="shared" si="11"/>
        <v>229177</v>
      </c>
      <c r="G30" s="93" t="str">
        <f t="shared" si="11"/>
        <v/>
      </c>
      <c r="H30" s="93" t="str">
        <f t="shared" si="11"/>
        <v/>
      </c>
      <c r="I30" s="93" t="str">
        <f t="shared" si="11"/>
        <v/>
      </c>
      <c r="J30" s="93" t="str">
        <f t="shared" si="11"/>
        <v/>
      </c>
      <c r="K30" s="93" t="str">
        <f t="shared" si="11"/>
        <v/>
      </c>
      <c r="L30" s="93" t="str">
        <f t="shared" si="11"/>
        <v/>
      </c>
      <c r="M30" s="96"/>
    </row>
    <row r="31" ht="15.75" customHeight="1">
      <c r="A31" s="29"/>
      <c r="B31" s="90" t="s">
        <v>40</v>
      </c>
      <c r="C31" s="91">
        <f t="shared" ref="C31:L31" si="12">IF(C28="","",C30/C12)</f>
        <v>1.678521524</v>
      </c>
      <c r="D31" s="91">
        <f t="shared" si="12"/>
        <v>0.356798754</v>
      </c>
      <c r="E31" s="91">
        <f t="shared" si="12"/>
        <v>1.02828373</v>
      </c>
      <c r="F31" s="91">
        <f t="shared" si="12"/>
        <v>0.257331096</v>
      </c>
      <c r="G31" s="91" t="str">
        <f t="shared" si="12"/>
        <v/>
      </c>
      <c r="H31" s="91" t="str">
        <f t="shared" si="12"/>
        <v/>
      </c>
      <c r="I31" s="91" t="str">
        <f t="shared" si="12"/>
        <v/>
      </c>
      <c r="J31" s="91" t="str">
        <f t="shared" si="12"/>
        <v/>
      </c>
      <c r="K31" s="91" t="str">
        <f t="shared" si="12"/>
        <v/>
      </c>
      <c r="L31" s="91" t="str">
        <f t="shared" si="12"/>
        <v/>
      </c>
      <c r="M31" s="96"/>
    </row>
    <row r="32" ht="15.75" customHeight="1">
      <c r="A32" s="29"/>
      <c r="B32" s="97" t="s">
        <v>155</v>
      </c>
    </row>
    <row r="33" ht="15.75" customHeight="1">
      <c r="A33" s="29"/>
      <c r="B33" s="90" t="s">
        <v>156</v>
      </c>
      <c r="C33" s="91">
        <f t="shared" ref="C33:M33" si="13">IF(C9="","",C12/C7)</f>
        <v>0.01611034491</v>
      </c>
      <c r="D33" s="91">
        <f t="shared" si="13"/>
        <v>0.1015902977</v>
      </c>
      <c r="E33" s="91">
        <f t="shared" si="13"/>
        <v>0.09666639558</v>
      </c>
      <c r="F33" s="91">
        <f t="shared" si="13"/>
        <v>0.1183275801</v>
      </c>
      <c r="G33" s="91">
        <f t="shared" si="13"/>
        <v>0.1196999074</v>
      </c>
      <c r="H33" s="91" t="str">
        <f t="shared" si="13"/>
        <v/>
      </c>
      <c r="I33" s="91" t="str">
        <f t="shared" si="13"/>
        <v/>
      </c>
      <c r="J33" s="91" t="str">
        <f t="shared" si="13"/>
        <v/>
      </c>
      <c r="K33" s="91" t="str">
        <f t="shared" si="13"/>
        <v/>
      </c>
      <c r="L33" s="91" t="str">
        <f t="shared" si="13"/>
        <v/>
      </c>
      <c r="M33" s="91" t="str">
        <f t="shared" si="13"/>
        <v/>
      </c>
    </row>
    <row r="34" ht="15.75" customHeight="1">
      <c r="A34" s="29"/>
      <c r="B34" s="90" t="s">
        <v>157</v>
      </c>
      <c r="C34" s="98">
        <f t="shared" ref="C34:L34" si="14">IF(D20="","",C7/D24)</f>
        <v>1.956671439</v>
      </c>
      <c r="D34" s="98">
        <f t="shared" si="14"/>
        <v>2.461242506</v>
      </c>
      <c r="E34" s="98">
        <f t="shared" si="14"/>
        <v>2.882069949</v>
      </c>
      <c r="F34" s="98">
        <f t="shared" si="14"/>
        <v>3.402625356</v>
      </c>
      <c r="G34" s="98" t="str">
        <f t="shared" si="14"/>
        <v/>
      </c>
      <c r="H34" s="98" t="str">
        <f t="shared" si="14"/>
        <v/>
      </c>
      <c r="I34" s="98" t="str">
        <f t="shared" si="14"/>
        <v/>
      </c>
      <c r="J34" s="98" t="str">
        <f t="shared" si="14"/>
        <v/>
      </c>
      <c r="K34" s="98" t="str">
        <f t="shared" si="14"/>
        <v/>
      </c>
      <c r="L34" s="98" t="str">
        <f t="shared" si="14"/>
        <v/>
      </c>
      <c r="M34" s="99"/>
    </row>
    <row r="35" ht="15.75" customHeight="1">
      <c r="A35" s="29"/>
      <c r="B35" s="90" t="s">
        <v>158</v>
      </c>
      <c r="C35" s="91">
        <f t="shared" ref="C35:L35" si="15">IF(D20="","",C12/D24)</f>
        <v>0.03152265176</v>
      </c>
      <c r="D35" s="91">
        <f t="shared" si="15"/>
        <v>0.250038359</v>
      </c>
      <c r="E35" s="91">
        <f t="shared" si="15"/>
        <v>0.2785993138</v>
      </c>
      <c r="F35" s="91">
        <f t="shared" si="15"/>
        <v>0.4026244243</v>
      </c>
      <c r="G35" s="91" t="str">
        <f t="shared" si="15"/>
        <v/>
      </c>
      <c r="H35" s="91" t="str">
        <f t="shared" si="15"/>
        <v/>
      </c>
      <c r="I35" s="91" t="str">
        <f t="shared" si="15"/>
        <v/>
      </c>
      <c r="J35" s="91" t="str">
        <f t="shared" si="15"/>
        <v/>
      </c>
      <c r="K35" s="91" t="str">
        <f t="shared" si="15"/>
        <v/>
      </c>
      <c r="L35" s="91" t="str">
        <f t="shared" si="15"/>
        <v/>
      </c>
      <c r="M35" s="99"/>
    </row>
    <row r="36" ht="15.75" customHeight="1">
      <c r="A36" s="29"/>
      <c r="B36" s="97" t="s">
        <v>159</v>
      </c>
    </row>
    <row r="37" ht="15.75" customHeight="1">
      <c r="A37" s="29"/>
      <c r="B37" s="90" t="s">
        <v>160</v>
      </c>
      <c r="C37" s="91">
        <f t="shared" ref="C37:M37" si="16">IF(C24="","",C18/C20)</f>
        <v>0.02545628463</v>
      </c>
      <c r="D37" s="91">
        <f t="shared" si="16"/>
        <v>0.02826802168</v>
      </c>
      <c r="E37" s="91">
        <f t="shared" si="16"/>
        <v>0.04494216677</v>
      </c>
      <c r="F37" s="91">
        <f t="shared" si="16"/>
        <v>0</v>
      </c>
      <c r="G37" s="91">
        <f t="shared" si="16"/>
        <v>0</v>
      </c>
      <c r="H37" s="91" t="str">
        <f t="shared" si="16"/>
        <v/>
      </c>
      <c r="I37" s="91" t="str">
        <f t="shared" si="16"/>
        <v/>
      </c>
      <c r="J37" s="91" t="str">
        <f t="shared" si="16"/>
        <v/>
      </c>
      <c r="K37" s="91" t="str">
        <f t="shared" si="16"/>
        <v/>
      </c>
      <c r="L37" s="91" t="str">
        <f t="shared" si="16"/>
        <v/>
      </c>
      <c r="M37" s="91" t="str">
        <f t="shared" si="16"/>
        <v/>
      </c>
    </row>
    <row r="38" ht="15.75" customHeight="1">
      <c r="A38" s="29"/>
      <c r="B38" s="90" t="s">
        <v>161</v>
      </c>
      <c r="C38" s="91">
        <f t="shared" ref="C38:M38" si="17">IF(C24="","",C19/C20)</f>
        <v>0.189847914</v>
      </c>
      <c r="D38" s="91">
        <f t="shared" si="17"/>
        <v>0.08485006093</v>
      </c>
      <c r="E38" s="91">
        <f t="shared" si="17"/>
        <v>0.141890943</v>
      </c>
      <c r="F38" s="91">
        <f t="shared" si="17"/>
        <v>0.01282813959</v>
      </c>
      <c r="G38" s="91">
        <f t="shared" si="17"/>
        <v>0.008837081031</v>
      </c>
      <c r="H38" s="91" t="str">
        <f t="shared" si="17"/>
        <v/>
      </c>
      <c r="I38" s="91" t="str">
        <f t="shared" si="17"/>
        <v/>
      </c>
      <c r="J38" s="91" t="str">
        <f t="shared" si="17"/>
        <v/>
      </c>
      <c r="K38" s="91" t="str">
        <f t="shared" si="17"/>
        <v/>
      </c>
      <c r="L38" s="91" t="str">
        <f t="shared" si="17"/>
        <v/>
      </c>
      <c r="M38" s="91" t="str">
        <f t="shared" si="17"/>
        <v/>
      </c>
    </row>
    <row r="39" ht="15.75" customHeight="1">
      <c r="A39" s="29"/>
      <c r="B39" s="90" t="s">
        <v>162</v>
      </c>
      <c r="C39" s="100">
        <f t="shared" ref="C39:M39" si="18">IF(C24="","",IF(C19&lt;=0,"-",C9/C19))</f>
        <v>0.2259845983</v>
      </c>
      <c r="D39" s="100">
        <f t="shared" si="18"/>
        <v>3.326588054</v>
      </c>
      <c r="E39" s="100">
        <f t="shared" si="18"/>
        <v>2.107542712</v>
      </c>
      <c r="F39" s="100">
        <f t="shared" si="18"/>
        <v>29.25395435</v>
      </c>
      <c r="G39" s="100">
        <f t="shared" si="18"/>
        <v>40.39459402</v>
      </c>
      <c r="H39" s="100" t="str">
        <f t="shared" si="18"/>
        <v/>
      </c>
      <c r="I39" s="100" t="str">
        <f t="shared" si="18"/>
        <v/>
      </c>
      <c r="J39" s="100" t="str">
        <f t="shared" si="18"/>
        <v/>
      </c>
      <c r="K39" s="100" t="str">
        <f t="shared" si="18"/>
        <v/>
      </c>
      <c r="L39" s="100" t="str">
        <f t="shared" si="18"/>
        <v/>
      </c>
      <c r="M39" s="100" t="str">
        <f t="shared" si="18"/>
        <v/>
      </c>
    </row>
    <row r="40" ht="15.75" customHeight="1">
      <c r="A40" s="29"/>
      <c r="B40" s="90" t="s">
        <v>163</v>
      </c>
      <c r="C40" s="98">
        <f t="shared" ref="C40:M40" si="19">IF(C24="","",C15/C16)</f>
        <v>0.8431765277</v>
      </c>
      <c r="D40" s="98">
        <f t="shared" si="19"/>
        <v>0.9629620743</v>
      </c>
      <c r="E40" s="98">
        <f t="shared" si="19"/>
        <v>0.9312636793</v>
      </c>
      <c r="F40" s="98">
        <f t="shared" si="19"/>
        <v>1.213378929</v>
      </c>
      <c r="G40" s="98">
        <f t="shared" si="19"/>
        <v>1.383307082</v>
      </c>
      <c r="H40" s="98" t="str">
        <f t="shared" si="19"/>
        <v/>
      </c>
      <c r="I40" s="98" t="str">
        <f t="shared" si="19"/>
        <v/>
      </c>
      <c r="J40" s="98" t="str">
        <f t="shared" si="19"/>
        <v/>
      </c>
      <c r="K40" s="98" t="str">
        <f t="shared" si="19"/>
        <v/>
      </c>
      <c r="L40" s="98" t="str">
        <f t="shared" si="19"/>
        <v/>
      </c>
      <c r="M40" s="98" t="str">
        <f t="shared" si="19"/>
        <v/>
      </c>
    </row>
    <row r="41" ht="15.75" customHeight="1">
      <c r="A41" s="29"/>
    </row>
    <row r="42" ht="15.75" customHeight="1">
      <c r="A42" s="29"/>
      <c r="B42" s="2" t="s">
        <v>164</v>
      </c>
      <c r="C42" s="101"/>
      <c r="D42" s="101"/>
      <c r="E42" s="101"/>
      <c r="F42" s="101"/>
    </row>
    <row r="43" ht="15.75" customHeight="1">
      <c r="A43" s="29"/>
      <c r="B43" s="102" t="s">
        <v>165</v>
      </c>
      <c r="C43" s="102"/>
      <c r="F43" s="62"/>
    </row>
    <row r="44" ht="15.75" customHeight="1">
      <c r="A44" s="29"/>
      <c r="B44" s="62" t="s">
        <v>166</v>
      </c>
      <c r="D44" s="103">
        <f>Dashboard!G11</f>
        <v>0.03</v>
      </c>
      <c r="E44" s="31"/>
      <c r="I44" s="51"/>
    </row>
    <row r="45" ht="15.75" customHeight="1">
      <c r="A45" s="29"/>
      <c r="B45" s="62" t="s">
        <v>167</v>
      </c>
      <c r="C45" s="51"/>
      <c r="D45" s="104" t="s">
        <v>168</v>
      </c>
      <c r="E45" s="31"/>
      <c r="I45" s="105"/>
    </row>
    <row r="46" ht="15.75" customHeight="1">
      <c r="A46" s="29"/>
      <c r="D46" s="106"/>
      <c r="E46" s="4"/>
      <c r="I46" s="105"/>
    </row>
    <row r="47" ht="15.75" customHeight="1">
      <c r="A47" s="29"/>
      <c r="B47" s="62" t="s">
        <v>169</v>
      </c>
      <c r="D47" s="107">
        <f>C9</f>
        <v>153124</v>
      </c>
      <c r="E47" s="31"/>
      <c r="F47" s="108" t="str">
        <f>IF(D$45="No Adjustment","✓","")</f>
        <v/>
      </c>
      <c r="I47" s="105"/>
    </row>
    <row r="48" ht="15.75" customHeight="1">
      <c r="A48" s="29"/>
      <c r="B48" s="62" t="s">
        <v>170</v>
      </c>
      <c r="D48" s="107">
        <f>C24*AVERAGE(C35:L35)</f>
        <v>872600.7015</v>
      </c>
      <c r="E48" s="31"/>
      <c r="F48" s="108" t="str">
        <f>IF(D$45="Average pre-tax ROC","✓","")</f>
        <v>✓</v>
      </c>
      <c r="I48" s="105"/>
    </row>
    <row r="49" ht="15.75" customHeight="1">
      <c r="A49" s="29"/>
      <c r="B49" s="62" t="s">
        <v>171</v>
      </c>
      <c r="D49" s="109"/>
      <c r="E49" s="31"/>
      <c r="F49" s="108" t="str">
        <f>IF(D$45="Direct Input","✓","")</f>
        <v/>
      </c>
    </row>
    <row r="50" ht="15.75" customHeight="1">
      <c r="A50" s="29"/>
      <c r="D50" s="1"/>
    </row>
    <row r="51" ht="15.75" customHeight="1">
      <c r="A51" s="29"/>
      <c r="B51" s="102" t="s">
        <v>172</v>
      </c>
      <c r="C51" s="102"/>
      <c r="D51" s="1"/>
    </row>
    <row r="52" ht="15.75" customHeight="1">
      <c r="A52" s="29"/>
      <c r="B52" s="62" t="s">
        <v>173</v>
      </c>
      <c r="D52" s="110">
        <v>0.25</v>
      </c>
      <c r="E52" s="31"/>
    </row>
    <row r="53" ht="15.75" customHeight="1">
      <c r="A53" s="29"/>
      <c r="B53" s="62" t="s">
        <v>174</v>
      </c>
      <c r="D53" s="111" t="s">
        <v>175</v>
      </c>
      <c r="E53" s="31"/>
      <c r="F53" s="112">
        <f>IF(D53="No Adjustment",D55,IF(D53="Direct Input",D57,D56))</f>
        <v>0.316</v>
      </c>
    </row>
    <row r="54" ht="15.75" customHeight="1">
      <c r="A54" s="29"/>
      <c r="D54" s="1"/>
    </row>
    <row r="55" ht="15.75" customHeight="1">
      <c r="A55" s="29"/>
      <c r="B55" s="62" t="s">
        <v>169</v>
      </c>
      <c r="D55" s="113">
        <f>C14</f>
        <v>0.316</v>
      </c>
      <c r="E55" s="31"/>
      <c r="F55" s="108" t="str">
        <f>IF(D$53="No Adjustment","✓","")</f>
        <v>✓</v>
      </c>
    </row>
    <row r="56" ht="15.75" customHeight="1">
      <c r="A56" s="29"/>
      <c r="B56" s="62" t="s">
        <v>176</v>
      </c>
      <c r="D56" s="113">
        <f>GEOMEAN(C14:M14)</f>
        <v>0.2198238464</v>
      </c>
      <c r="E56" s="31"/>
      <c r="F56" s="108" t="str">
        <f>IF(D$53="Average Effective Tax Rate","✓","")</f>
        <v/>
      </c>
    </row>
    <row r="57" ht="15.75" customHeight="1">
      <c r="A57" s="29"/>
      <c r="B57" s="62" t="s">
        <v>177</v>
      </c>
      <c r="D57" s="103">
        <f>D52</f>
        <v>0.25</v>
      </c>
      <c r="E57" s="31"/>
      <c r="F57" s="108" t="str">
        <f>IF(D$53="Direct Input","✓","")</f>
        <v/>
      </c>
    </row>
    <row r="58" ht="15.75" customHeight="1">
      <c r="A58" s="29"/>
      <c r="B58" s="29"/>
      <c r="D58" s="1"/>
    </row>
    <row r="59" ht="15.75" customHeight="1">
      <c r="A59" s="29"/>
      <c r="B59" s="102" t="s">
        <v>178</v>
      </c>
      <c r="C59" s="102"/>
      <c r="D59" s="1"/>
    </row>
    <row r="60" ht="15.75" customHeight="1">
      <c r="A60" s="29"/>
      <c r="B60" s="62" t="s">
        <v>179</v>
      </c>
      <c r="D60" s="113">
        <f>C35</f>
        <v>0.03152265176</v>
      </c>
      <c r="E60" s="31"/>
      <c r="F60" s="114"/>
    </row>
    <row r="61" ht="15.75" customHeight="1">
      <c r="A61" s="29"/>
      <c r="B61" s="62" t="s">
        <v>180</v>
      </c>
      <c r="D61" s="113">
        <f>AVERAGE(C35:L35)</f>
        <v>0.2406961872</v>
      </c>
      <c r="E61" s="31"/>
      <c r="F61" s="114"/>
    </row>
    <row r="62" ht="15.75" customHeight="1">
      <c r="A62" s="29"/>
      <c r="B62" s="62" t="s">
        <v>171</v>
      </c>
      <c r="D62" s="111"/>
      <c r="E62" s="31"/>
      <c r="F62" s="114"/>
    </row>
    <row r="63" ht="15.75" customHeight="1">
      <c r="A63" s="29"/>
      <c r="D63" s="1"/>
    </row>
    <row r="64" ht="15.75" customHeight="1">
      <c r="A64" s="29"/>
      <c r="B64" s="102" t="s">
        <v>181</v>
      </c>
      <c r="C64" s="102"/>
      <c r="D64" s="1"/>
    </row>
    <row r="65" ht="15.75" customHeight="1">
      <c r="A65" s="29"/>
      <c r="B65" s="62" t="s">
        <v>182</v>
      </c>
      <c r="D65" s="115">
        <f>C19</f>
        <v>677586</v>
      </c>
      <c r="E65" s="31"/>
    </row>
    <row r="66" ht="15.75" customHeight="1">
      <c r="A66" s="29"/>
      <c r="B66" s="62" t="s">
        <v>183</v>
      </c>
      <c r="D66" s="109">
        <v>0.0</v>
      </c>
      <c r="E66" s="31"/>
      <c r="F66" s="1" t="s">
        <v>184</v>
      </c>
    </row>
    <row r="67" ht="15.75" customHeight="1">
      <c r="A67" s="29"/>
      <c r="D67" s="1"/>
    </row>
    <row r="68" ht="15.75" customHeight="1">
      <c r="A68" s="29"/>
      <c r="B68" s="102" t="s">
        <v>185</v>
      </c>
      <c r="C68" s="102"/>
      <c r="D68" s="1"/>
    </row>
    <row r="69" ht="15.75" customHeight="1">
      <c r="A69" s="29"/>
      <c r="B69" s="62" t="s">
        <v>186</v>
      </c>
      <c r="D69" s="111" t="s">
        <v>187</v>
      </c>
      <c r="E69" s="31"/>
      <c r="F69" s="116">
        <f>IF(D69="Direct Input",D72,D71)</f>
        <v>0</v>
      </c>
    </row>
    <row r="70" ht="15.75" customHeight="1">
      <c r="A70" s="29"/>
      <c r="D70" s="1"/>
    </row>
    <row r="71" ht="15.75" customHeight="1">
      <c r="A71" s="29"/>
      <c r="B71" s="62" t="s">
        <v>188</v>
      </c>
      <c r="D71" s="107">
        <f>C23</f>
        <v>0</v>
      </c>
      <c r="E71" s="31"/>
    </row>
    <row r="72" ht="15.75" customHeight="1">
      <c r="A72" s="29"/>
      <c r="B72" s="62" t="s">
        <v>189</v>
      </c>
      <c r="D72" s="117"/>
      <c r="E72" s="31"/>
    </row>
    <row r="73" ht="15.75" customHeight="1">
      <c r="A73" s="29"/>
      <c r="D73" s="1"/>
    </row>
    <row r="74" ht="15.75" customHeight="1">
      <c r="A74" s="29"/>
      <c r="B74" s="118" t="s">
        <v>190</v>
      </c>
      <c r="C74" s="102"/>
      <c r="D74" s="1"/>
    </row>
    <row r="75" ht="15.75" customHeight="1">
      <c r="A75" s="29"/>
      <c r="B75" s="62" t="s">
        <v>191</v>
      </c>
      <c r="D75" s="111" t="s">
        <v>192</v>
      </c>
      <c r="E75" s="31"/>
      <c r="F75" s="119">
        <f>IF(D75="BV of the MI",D77,IF(D75="P/E Approach",D78,IF(D75="Direct Input",D80,D79)))</f>
        <v>311186</v>
      </c>
    </row>
    <row r="76" ht="15.75" customHeight="1">
      <c r="A76" s="29"/>
      <c r="D76" s="1"/>
    </row>
    <row r="77" ht="15.75" customHeight="1">
      <c r="A77" s="29"/>
      <c r="B77" s="62" t="s">
        <v>193</v>
      </c>
      <c r="D77" s="107">
        <f>C21</f>
        <v>311186</v>
      </c>
      <c r="E77" s="31"/>
    </row>
    <row r="78" ht="15.75" customHeight="1">
      <c r="A78" s="29"/>
      <c r="B78" s="62" t="s">
        <v>194</v>
      </c>
      <c r="D78" s="107" t="str">
        <f>#REF!*Dashboard!C10</f>
        <v>#REF!</v>
      </c>
      <c r="E78" s="31"/>
    </row>
    <row r="79" ht="15.75" customHeight="1">
      <c r="A79" s="29"/>
      <c r="B79" s="62" t="s">
        <v>195</v>
      </c>
      <c r="D79" s="107">
        <f>D77*Dashboard!C11</f>
        <v>1114742.514</v>
      </c>
      <c r="E79" s="31"/>
    </row>
    <row r="80" ht="15.75" customHeight="1">
      <c r="A80" s="29"/>
      <c r="B80" s="62" t="s">
        <v>196</v>
      </c>
      <c r="D80" s="109"/>
      <c r="E80" s="31"/>
    </row>
    <row r="81" ht="15.75" customHeight="1">
      <c r="A81" s="29"/>
      <c r="D81" s="1"/>
    </row>
    <row r="82" ht="15.75" customHeight="1">
      <c r="A82" s="29"/>
      <c r="B82" s="102" t="s">
        <v>197</v>
      </c>
      <c r="C82" s="102"/>
      <c r="D82" s="1"/>
    </row>
    <row r="83" ht="15.75" customHeight="1">
      <c r="A83" s="29"/>
      <c r="B83" s="62" t="s">
        <v>198</v>
      </c>
      <c r="D83" s="120" t="s">
        <v>199</v>
      </c>
      <c r="E83" s="31"/>
    </row>
    <row r="84" ht="15.75" customHeight="1">
      <c r="A84" s="29"/>
      <c r="B84" s="62" t="s">
        <v>200</v>
      </c>
      <c r="D84" s="121">
        <v>5.0</v>
      </c>
      <c r="E84" s="31"/>
    </row>
    <row r="85" ht="15.75" customHeight="1">
      <c r="A85" s="29"/>
      <c r="B85" s="122" t="s">
        <v>201</v>
      </c>
      <c r="C85" s="122" t="s">
        <v>202</v>
      </c>
      <c r="D85" s="123" t="s">
        <v>203</v>
      </c>
      <c r="E85" s="31"/>
      <c r="F85" s="124" t="s">
        <v>204</v>
      </c>
    </row>
    <row r="86" ht="15.75" customHeight="1">
      <c r="A86" s="29"/>
      <c r="B86" s="125" t="str">
        <f>C6</f>
        <v>FY 2021</v>
      </c>
      <c r="C86" s="126">
        <v>154.95</v>
      </c>
      <c r="D86" s="125">
        <f>1</f>
        <v>1</v>
      </c>
      <c r="E86" s="127">
        <f t="shared" ref="E86:E96" si="20">C86*D86</f>
        <v>154.95</v>
      </c>
      <c r="F86" s="128">
        <v>0.0</v>
      </c>
    </row>
    <row r="87" ht="15.75" customHeight="1">
      <c r="A87" s="29"/>
      <c r="B87" s="127">
        <f>IF(D7="","",-1)</f>
        <v>-1</v>
      </c>
      <c r="C87" s="126">
        <v>104.72</v>
      </c>
      <c r="D87" s="125">
        <f t="shared" ref="D87:D96" si="21">IF(B87&lt;0,(D$84+B87)/D$84,0)</f>
        <v>0.8</v>
      </c>
      <c r="E87" s="127">
        <f t="shared" si="20"/>
        <v>83.776</v>
      </c>
      <c r="F87" s="128">
        <f t="shared" ref="F87:F96" si="22">IF(B87&lt;0,C87/$D$84,0)</f>
        <v>20.944</v>
      </c>
    </row>
    <row r="88" ht="15.75" customHeight="1">
      <c r="A88" s="29"/>
      <c r="B88" s="127">
        <f t="shared" ref="B88:B96" si="23">IF((0-B87)&lt;$D$84,IF(B87&gt;-1, ,B87-1), )</f>
        <v>-2</v>
      </c>
      <c r="C88" s="126">
        <v>79.17</v>
      </c>
      <c r="D88" s="125">
        <f t="shared" si="21"/>
        <v>0.6</v>
      </c>
      <c r="E88" s="127">
        <f t="shared" si="20"/>
        <v>47.502</v>
      </c>
      <c r="F88" s="128">
        <f t="shared" si="22"/>
        <v>15.834</v>
      </c>
    </row>
    <row r="89" ht="15.75" customHeight="1">
      <c r="A89" s="29"/>
      <c r="B89" s="127">
        <f t="shared" si="23"/>
        <v>-3</v>
      </c>
      <c r="C89" s="126">
        <v>61.49</v>
      </c>
      <c r="D89" s="125">
        <f t="shared" si="21"/>
        <v>0.4</v>
      </c>
      <c r="E89" s="127">
        <f t="shared" si="20"/>
        <v>24.596</v>
      </c>
      <c r="F89" s="128">
        <f t="shared" si="22"/>
        <v>12.298</v>
      </c>
    </row>
    <row r="90" ht="15.75" customHeight="1">
      <c r="A90" s="29"/>
      <c r="B90" s="127">
        <f t="shared" si="23"/>
        <v>-4</v>
      </c>
      <c r="C90" s="126">
        <v>31.04</v>
      </c>
      <c r="D90" s="125">
        <f t="shared" si="21"/>
        <v>0.2</v>
      </c>
      <c r="E90" s="127">
        <f t="shared" si="20"/>
        <v>6.208</v>
      </c>
      <c r="F90" s="128">
        <f t="shared" si="22"/>
        <v>6.208</v>
      </c>
    </row>
    <row r="91" ht="15.75" customHeight="1">
      <c r="A91" s="29"/>
      <c r="B91" s="127">
        <f t="shared" si="23"/>
        <v>-5</v>
      </c>
      <c r="C91" s="126">
        <v>0.0</v>
      </c>
      <c r="D91" s="125">
        <f t="shared" si="21"/>
        <v>0</v>
      </c>
      <c r="E91" s="127">
        <f t="shared" si="20"/>
        <v>0</v>
      </c>
      <c r="F91" s="128">
        <f t="shared" si="22"/>
        <v>0</v>
      </c>
    </row>
    <row r="92" ht="15.75" customHeight="1">
      <c r="A92" s="29"/>
      <c r="B92" s="127" t="str">
        <f t="shared" si="23"/>
        <v/>
      </c>
      <c r="C92" s="126"/>
      <c r="D92" s="125">
        <f t="shared" si="21"/>
        <v>0</v>
      </c>
      <c r="E92" s="127">
        <f t="shared" si="20"/>
        <v>0</v>
      </c>
      <c r="F92" s="128">
        <f t="shared" si="22"/>
        <v>0</v>
      </c>
    </row>
    <row r="93" ht="15.75" customHeight="1">
      <c r="A93" s="29"/>
      <c r="B93" s="127" t="str">
        <f t="shared" si="23"/>
        <v/>
      </c>
      <c r="C93" s="126"/>
      <c r="D93" s="125">
        <f t="shared" si="21"/>
        <v>0</v>
      </c>
      <c r="E93" s="127">
        <f t="shared" si="20"/>
        <v>0</v>
      </c>
      <c r="F93" s="128">
        <f t="shared" si="22"/>
        <v>0</v>
      </c>
    </row>
    <row r="94" ht="15.75" customHeight="1">
      <c r="A94" s="29"/>
      <c r="B94" s="127" t="str">
        <f t="shared" si="23"/>
        <v/>
      </c>
      <c r="C94" s="126"/>
      <c r="D94" s="125">
        <f t="shared" si="21"/>
        <v>0</v>
      </c>
      <c r="E94" s="127">
        <f t="shared" si="20"/>
        <v>0</v>
      </c>
      <c r="F94" s="128">
        <f t="shared" si="22"/>
        <v>0</v>
      </c>
    </row>
    <row r="95" ht="15.75" customHeight="1">
      <c r="A95" s="29"/>
      <c r="B95" s="127" t="str">
        <f t="shared" si="23"/>
        <v/>
      </c>
      <c r="C95" s="126"/>
      <c r="D95" s="125">
        <f t="shared" si="21"/>
        <v>0</v>
      </c>
      <c r="E95" s="127">
        <f t="shared" si="20"/>
        <v>0</v>
      </c>
      <c r="F95" s="128">
        <f t="shared" si="22"/>
        <v>0</v>
      </c>
    </row>
    <row r="96" ht="15.75" customHeight="1">
      <c r="A96" s="29"/>
      <c r="B96" s="127" t="str">
        <f t="shared" si="23"/>
        <v/>
      </c>
      <c r="C96" s="126"/>
      <c r="D96" s="125">
        <f t="shared" si="21"/>
        <v>0</v>
      </c>
      <c r="E96" s="127">
        <f t="shared" si="20"/>
        <v>0</v>
      </c>
      <c r="F96" s="128">
        <f t="shared" si="22"/>
        <v>0</v>
      </c>
    </row>
    <row r="97" ht="15.75" customHeight="1">
      <c r="A97" s="29"/>
      <c r="B97" s="129" t="s">
        <v>205</v>
      </c>
      <c r="C97" s="129"/>
      <c r="D97" s="129"/>
      <c r="E97" s="127">
        <f>SUM(E86:E96)</f>
        <v>317.032</v>
      </c>
      <c r="F97" s="129"/>
    </row>
    <row r="98" ht="15.75" customHeight="1">
      <c r="A98" s="29"/>
      <c r="B98" s="129" t="s">
        <v>206</v>
      </c>
      <c r="C98" s="129"/>
      <c r="D98" s="129"/>
      <c r="F98" s="128">
        <f>SUM(F87:F96)</f>
        <v>55.284</v>
      </c>
    </row>
    <row r="99" ht="15.75" customHeight="1">
      <c r="A99" s="29"/>
    </row>
    <row r="100" ht="15.75" customHeight="1">
      <c r="A100" s="29"/>
      <c r="B100" s="130"/>
      <c r="C100" s="131" t="s">
        <v>207</v>
      </c>
      <c r="D100" s="131" t="s">
        <v>208</v>
      </c>
      <c r="E100" s="132" t="s">
        <v>209</v>
      </c>
      <c r="F100" s="132" t="s">
        <v>210</v>
      </c>
    </row>
    <row r="101" ht="15.75" customHeight="1">
      <c r="A101" s="29"/>
      <c r="B101" s="133" t="s">
        <v>211</v>
      </c>
      <c r="C101" s="93">
        <f>IF(D45="No Adjustment",D47,IF(D45="Direct Input",D49,D48))</f>
        <v>872600.7015</v>
      </c>
      <c r="D101" s="93">
        <f>C101+C86-F98</f>
        <v>872700.3675</v>
      </c>
      <c r="E101" s="134" t="s">
        <v>212</v>
      </c>
      <c r="F101" s="134" t="s">
        <v>213</v>
      </c>
    </row>
    <row r="102" ht="15.75" customHeight="1">
      <c r="A102" s="29"/>
      <c r="B102" s="133" t="s">
        <v>214</v>
      </c>
      <c r="C102" s="91">
        <f t="shared" ref="C102:D102" si="24">C101/$C$7</f>
        <v>0.1342211727</v>
      </c>
      <c r="D102" s="91">
        <f t="shared" si="24"/>
        <v>0.1342365031</v>
      </c>
      <c r="E102" s="134" t="s">
        <v>215</v>
      </c>
      <c r="F102" s="134" t="s">
        <v>216</v>
      </c>
    </row>
    <row r="103" ht="15.75" customHeight="1">
      <c r="A103" s="29"/>
      <c r="B103" s="133" t="s">
        <v>136</v>
      </c>
      <c r="C103" s="93">
        <f>C12</f>
        <v>104736.816</v>
      </c>
      <c r="D103" s="93">
        <f>C103+C86-F98</f>
        <v>104836.482</v>
      </c>
      <c r="E103" s="134" t="s">
        <v>217</v>
      </c>
      <c r="F103" s="134" t="s">
        <v>218</v>
      </c>
    </row>
    <row r="104" ht="15.75" customHeight="1">
      <c r="A104" s="29"/>
      <c r="B104" s="133" t="s">
        <v>219</v>
      </c>
      <c r="C104" s="93">
        <f>F4</f>
        <v>-158750</v>
      </c>
      <c r="D104" s="93">
        <f>C104+C86-F98</f>
        <v>-158650.334</v>
      </c>
      <c r="E104" s="135" t="s">
        <v>220</v>
      </c>
      <c r="F104" s="134" t="s">
        <v>221</v>
      </c>
    </row>
    <row r="105" ht="15.75" customHeight="1">
      <c r="A105" s="106"/>
      <c r="B105" s="133" t="s">
        <v>222</v>
      </c>
      <c r="C105" s="93">
        <f>C24</f>
        <v>3625320</v>
      </c>
      <c r="D105" s="93">
        <f>C105+E97</f>
        <v>3625637.032</v>
      </c>
      <c r="E105" s="135" t="s">
        <v>223</v>
      </c>
      <c r="F105" s="134" t="s">
        <v>221</v>
      </c>
    </row>
    <row r="106" ht="15.75" customHeight="1">
      <c r="A106" s="106"/>
      <c r="B106" s="133" t="s">
        <v>224</v>
      </c>
      <c r="C106" s="91">
        <f t="shared" ref="C106:D106" si="25">C103/C105</f>
        <v>0.02889036444</v>
      </c>
      <c r="D106" s="91">
        <f t="shared" si="25"/>
        <v>0.02891532745</v>
      </c>
      <c r="E106" s="135" t="s">
        <v>225</v>
      </c>
      <c r="F106" s="134" t="s">
        <v>221</v>
      </c>
    </row>
    <row r="107" ht="15.75" customHeight="1">
      <c r="A107" s="106"/>
      <c r="B107" s="136"/>
      <c r="C107" s="137"/>
      <c r="D107" s="137"/>
    </row>
    <row r="108" ht="15.75" customHeight="1">
      <c r="A108" s="106"/>
      <c r="B108" s="136"/>
      <c r="C108" s="137"/>
      <c r="D108" s="137"/>
    </row>
    <row r="109" ht="15.75" customHeight="1">
      <c r="A109" s="106"/>
      <c r="B109" s="136"/>
      <c r="C109" s="137"/>
      <c r="D109" s="137"/>
    </row>
    <row r="110" ht="15.75" customHeight="1">
      <c r="A110" s="106"/>
      <c r="B110" s="136"/>
      <c r="C110" s="105"/>
      <c r="D110" s="105"/>
    </row>
    <row r="111" ht="15.75" customHeight="1">
      <c r="A111" s="106"/>
      <c r="B111" s="136"/>
      <c r="C111" s="137"/>
      <c r="D111" s="137"/>
    </row>
    <row r="112" ht="15.75" customHeight="1">
      <c r="A112" s="106"/>
      <c r="B112" s="136"/>
      <c r="C112" s="105"/>
      <c r="D112" s="105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42"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9:E79"/>
    <mergeCell ref="D80:E80"/>
    <mergeCell ref="D81:E81"/>
    <mergeCell ref="D82:E82"/>
    <mergeCell ref="D83:E83"/>
    <mergeCell ref="D84:E84"/>
    <mergeCell ref="D85:E85"/>
    <mergeCell ref="D72:E72"/>
    <mergeCell ref="D73:E73"/>
    <mergeCell ref="D74:E74"/>
    <mergeCell ref="D75:E75"/>
    <mergeCell ref="D76:E76"/>
    <mergeCell ref="D77:E77"/>
    <mergeCell ref="D78:E78"/>
  </mergeCells>
  <dataValidations>
    <dataValidation type="decimal" allowBlank="1" showDropDown="1" sqref="D84">
      <formula1>1.0</formula1>
      <formula2>10.0</formula2>
    </dataValidation>
    <dataValidation type="decimal" allowBlank="1" showDropDown="1" showErrorMessage="1" sqref="C3">
      <formula1>2000.0</formula1>
      <formula2>2100.0</formula2>
    </dataValidation>
    <dataValidation type="list" allowBlank="1" showErrorMessage="1" sqref="C4">
      <formula1>"H1,FY"</formula1>
    </dataValidation>
    <dataValidation type="list" allowBlank="1" sqref="D69 D83">
      <formula1>"Yes,No"</formula1>
    </dataValidation>
    <dataValidation type="list" allowBlank="1" sqref="D45">
      <formula1>"No Adjustment,Average pre-tax ROC,Direct Input"</formula1>
    </dataValidation>
    <dataValidation type="list" allowBlank="1" sqref="D53">
      <formula1>"No Adjustment,Average Effective Tax Rate,Direct Input"</formula1>
    </dataValidation>
    <dataValidation type="list" allowBlank="1" sqref="D75">
      <formula1>"BV of the MI,P/E Approach,P/B Approach"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2" ht="15.75" customHeight="1">
      <c r="B2" s="138" t="s">
        <v>226</v>
      </c>
      <c r="C2" s="4"/>
      <c r="D2" s="4"/>
    </row>
    <row r="3" ht="15.75" customHeight="1">
      <c r="B3" s="102" t="s">
        <v>227</v>
      </c>
      <c r="C3" s="139" t="s">
        <v>32</v>
      </c>
    </row>
    <row r="4" ht="15.75" customHeight="1">
      <c r="B4" s="140" t="s">
        <v>228</v>
      </c>
      <c r="E4" s="140"/>
      <c r="I4" s="140" t="s">
        <v>229</v>
      </c>
    </row>
    <row r="5" ht="15.75" customHeight="1">
      <c r="B5" s="62" t="s">
        <v>230</v>
      </c>
      <c r="C5" s="141">
        <f>Dashboard!G12</f>
        <v>0.075</v>
      </c>
      <c r="E5" s="62" t="s">
        <v>231</v>
      </c>
      <c r="G5" s="142">
        <f>Dashboard!D28</f>
        <v>6</v>
      </c>
      <c r="I5" s="62" t="s">
        <v>230</v>
      </c>
      <c r="K5" s="141">
        <f>Dashboard!G13</f>
        <v>0.0975</v>
      </c>
    </row>
    <row r="6" ht="15.75" customHeight="1">
      <c r="B6" s="1" t="s">
        <v>232</v>
      </c>
      <c r="C6" s="86">
        <f>(INDIRECT(ADDRESS(ROW(B12),'Bear Model'!EXP_CAP+3))/C12)^(1/'Bear Model'!EXP_CAP)-1</f>
        <v>0.08801138973</v>
      </c>
      <c r="E6" s="62" t="s">
        <v>233</v>
      </c>
      <c r="G6" s="143">
        <f>_xlfn.FLOOR.MATH((G5/2))</f>
        <v>3</v>
      </c>
      <c r="I6" s="1" t="s">
        <v>234</v>
      </c>
      <c r="K6" s="86">
        <f>'Bear Model'!Terminal_Wacc-'Bear Model'!EXP_Wacc</f>
        <v>0.0225</v>
      </c>
    </row>
    <row r="7" ht="15.75" customHeight="1"/>
    <row r="8" ht="15.75" customHeight="1">
      <c r="B8" s="102" t="s">
        <v>235</v>
      </c>
      <c r="C8" s="62" t="s">
        <v>236</v>
      </c>
    </row>
    <row r="9" ht="15.75" customHeight="1">
      <c r="B9" s="144" t="str">
        <f>"(Numbers in "&amp;Data!F3&amp;Dashboard!C12&amp;")"</f>
        <v>(Numbers in 1000HKD)</v>
      </c>
      <c r="C9" s="145" t="str">
        <f>Data!C6</f>
        <v>FY 2021</v>
      </c>
      <c r="D9" s="145">
        <v>1.0</v>
      </c>
      <c r="E9" s="145">
        <v>2.0</v>
      </c>
      <c r="F9" s="145">
        <v>3.0</v>
      </c>
      <c r="G9" s="145">
        <v>4.0</v>
      </c>
      <c r="H9" s="145">
        <v>5.0</v>
      </c>
      <c r="I9" s="145">
        <v>6.0</v>
      </c>
      <c r="J9" s="145">
        <v>7.0</v>
      </c>
      <c r="K9" s="145">
        <v>8.0</v>
      </c>
      <c r="L9" s="145">
        <v>9.0</v>
      </c>
      <c r="M9" s="145">
        <v>10.0</v>
      </c>
      <c r="N9" s="145" t="s">
        <v>237</v>
      </c>
    </row>
    <row r="10" ht="15.75" customHeight="1">
      <c r="B10" s="146" t="s">
        <v>238</v>
      </c>
      <c r="C10" s="147">
        <f>IF(Data!D83="No",Data!C105,Data!D105)</f>
        <v>3625320</v>
      </c>
      <c r="D10" s="147">
        <f>IF('Bear Model'!ModelYear&gt;'Bear Model'!EXP_CAP,"",C10+C17)</f>
        <v>3625320</v>
      </c>
      <c r="E10" s="147">
        <f>IF('Bear Model'!ModelYear&gt;'Bear Model'!EXP_CAP,"",D10+D17)</f>
        <v>4245167.395</v>
      </c>
      <c r="F10" s="147">
        <f>IF('Bear Model'!ModelYear&gt;'Bear Model'!EXP_CAP,"",E10+E17)</f>
        <v>4926999.529</v>
      </c>
      <c r="G10" s="147">
        <f>IF('Bear Model'!ModelYear&gt;'Bear Model'!EXP_CAP,"",F10+F17)</f>
        <v>5677014.877</v>
      </c>
      <c r="H10" s="147">
        <f>IF('Bear Model'!ModelYear&gt;'Bear Model'!EXP_CAP,"",G10+G17)</f>
        <v>6502031.759</v>
      </c>
      <c r="I10" s="147">
        <f>IF('Bear Model'!ModelYear&gt;'Bear Model'!EXP_CAP,"",H10+H17)</f>
        <v>7409550.33</v>
      </c>
      <c r="J10" s="147" t="str">
        <f>IF('Bear Model'!ModelYear&gt;'Bear Model'!EXP_CAP,"",I10+I17)</f>
        <v/>
      </c>
      <c r="K10" s="147" t="str">
        <f>IF('Bear Model'!ModelYear&gt;'Bear Model'!EXP_CAP,"",J10+J17)</f>
        <v/>
      </c>
      <c r="L10" s="147" t="str">
        <f>IF('Bear Model'!ModelYear&gt;'Bear Model'!EXP_CAP,"",K10+K17)</f>
        <v/>
      </c>
      <c r="M10" s="147" t="str">
        <f>IF('Bear Model'!ModelYear&gt;'Bear Model'!EXP_CAP,"",L10+L17)</f>
        <v/>
      </c>
      <c r="N10" s="51"/>
    </row>
    <row r="11" ht="15.75" customHeight="1">
      <c r="B11" s="148" t="s">
        <v>239</v>
      </c>
      <c r="C11" s="149"/>
      <c r="D11" s="150">
        <v>0.03</v>
      </c>
      <c r="E11" s="150">
        <v>0.1</v>
      </c>
      <c r="F11" s="150">
        <v>0.1</v>
      </c>
      <c r="G11" s="150">
        <v>0.1</v>
      </c>
      <c r="H11" s="150">
        <v>0.1</v>
      </c>
      <c r="I11" s="150">
        <v>0.1</v>
      </c>
      <c r="J11" s="151" t="str">
        <f>IF('Bear Model'!ModelYear&gt;'Bear Model'!EXP_CAP,"",#REF!*I16+(#REF!-I15)/#REF!)</f>
        <v/>
      </c>
      <c r="K11" s="151" t="str">
        <f>IF('Bear Model'!ModelYear&gt;'Bear Model'!EXP_CAP,"",#REF!*J16+(#REF!-J15)/#REF!)</f>
        <v/>
      </c>
      <c r="L11" s="151" t="str">
        <f>IF('Bear Model'!ModelYear&gt;'Bear Model'!EXP_CAP,"",#REF!*K16+(#REF!-K15)/#REF!)</f>
        <v/>
      </c>
      <c r="M11" s="151" t="str">
        <f>IF('Bear Model'!ModelYear&gt;'Bear Model'!EXP_CAP,"",#REF!*L16+(#REF!-L15)/#REF!)</f>
        <v/>
      </c>
      <c r="N11" s="152">
        <f>'Bear Model'!Terminal_EbitGrowth</f>
        <v>0.03</v>
      </c>
    </row>
    <row r="12" ht="15.75" customHeight="1">
      <c r="B12" s="62" t="s">
        <v>240</v>
      </c>
      <c r="C12" s="153">
        <f>IF(Data!D83="No",Data!C101,Data!D101)</f>
        <v>872600.7015</v>
      </c>
      <c r="D12" s="153">
        <f>IF('Bear Model'!ModelYear&gt;'Bear Model'!EXP_CAP,"",C12*(1+'Bear Model'!Model_EbitGrowth))</f>
        <v>898778.7225</v>
      </c>
      <c r="E12" s="153">
        <f>IF('Bear Model'!ModelYear&gt;'Bear Model'!EXP_CAP,"",D12*(1+'Bear Model'!Model_EbitGrowth))</f>
        <v>988656.5948</v>
      </c>
      <c r="F12" s="153">
        <f>IF('Bear Model'!ModelYear&gt;'Bear Model'!EXP_CAP,"",E12*(1+'Bear Model'!Model_EbitGrowth))</f>
        <v>1087522.254</v>
      </c>
      <c r="G12" s="153">
        <f>IF('Bear Model'!ModelYear&gt;'Bear Model'!EXP_CAP,"",F12*(1+'Bear Model'!Model_EbitGrowth))</f>
        <v>1196274.48</v>
      </c>
      <c r="H12" s="153">
        <f>IF('Bear Model'!ModelYear&gt;'Bear Model'!EXP_CAP,"",G12*(1+'Bear Model'!Model_EbitGrowth))</f>
        <v>1315901.928</v>
      </c>
      <c r="I12" s="153">
        <f>IF('Bear Model'!ModelYear&gt;'Bear Model'!EXP_CAP,"",H12*(1+'Bear Model'!Model_EbitGrowth))</f>
        <v>1447492.12</v>
      </c>
      <c r="J12" s="153" t="str">
        <f>IF('Bear Model'!ModelYear&gt;'Bear Model'!EXP_CAP,"",I12*(1+'Bear Model'!Model_EbitGrowth))</f>
        <v/>
      </c>
      <c r="K12" s="153" t="str">
        <f>IF('Bear Model'!ModelYear&gt;'Bear Model'!EXP_CAP,"",J12*(1+'Bear Model'!Model_EbitGrowth))</f>
        <v/>
      </c>
      <c r="L12" s="153" t="str">
        <f>IF('Bear Model'!ModelYear&gt;'Bear Model'!EXP_CAP,"",K12*(1+'Bear Model'!Model_EbitGrowth))</f>
        <v/>
      </c>
      <c r="M12" s="153" t="str">
        <f>IF('Bear Model'!ModelYear&gt;'Bear Model'!EXP_CAP,"",L12*(1+'Bear Model'!Model_EbitGrowth))</f>
        <v/>
      </c>
      <c r="N12" s="153">
        <f>INDIRECT(ADDRESS(ROW(B12),'Bear Model'!EXP_CAP+3))*(1+'Bear Model'!Terminal_EbitGrowth)</f>
        <v>1490916.884</v>
      </c>
    </row>
    <row r="13" ht="15.75" customHeight="1">
      <c r="B13" s="146" t="s">
        <v>241</v>
      </c>
      <c r="C13" s="154">
        <f>Data!F53</f>
        <v>0.316</v>
      </c>
      <c r="D13" s="155">
        <v>0.25</v>
      </c>
      <c r="E13" s="155">
        <v>0.25</v>
      </c>
      <c r="F13" s="155">
        <v>0.25</v>
      </c>
      <c r="G13" s="155">
        <v>0.25</v>
      </c>
      <c r="H13" s="155">
        <v>0.25</v>
      </c>
      <c r="I13" s="155">
        <v>0.25</v>
      </c>
      <c r="J13" s="155"/>
      <c r="K13" s="155"/>
      <c r="L13" s="155"/>
      <c r="M13" s="155"/>
      <c r="N13" s="154">
        <f>Data!D52</f>
        <v>0.25</v>
      </c>
    </row>
    <row r="14" ht="15.75" customHeight="1">
      <c r="B14" s="156" t="s">
        <v>136</v>
      </c>
      <c r="C14" s="157">
        <f>IF(Data!D83="No",Data!C103,Data!D103)</f>
        <v>104736.816</v>
      </c>
      <c r="D14" s="157">
        <f>IF('Bear Model'!ModelYear&gt;'Bear Model'!EXP_CAP,"",D12*(1-D13))</f>
        <v>674084.0419</v>
      </c>
      <c r="E14" s="157">
        <f>IF('Bear Model'!ModelYear&gt;'Bear Model'!EXP_CAP,"",E12*(1-E13))</f>
        <v>741492.4461</v>
      </c>
      <c r="F14" s="157">
        <f>IF('Bear Model'!ModelYear&gt;'Bear Model'!EXP_CAP,"",F12*(1-F13))</f>
        <v>815641.6907</v>
      </c>
      <c r="G14" s="157">
        <f>IF('Bear Model'!ModelYear&gt;'Bear Model'!EXP_CAP,"",G12*(1-G13))</f>
        <v>897205.8598</v>
      </c>
      <c r="H14" s="157">
        <f>IF('Bear Model'!ModelYear&gt;'Bear Model'!EXP_CAP,"",H12*(1-H13))</f>
        <v>986926.4457</v>
      </c>
      <c r="I14" s="157">
        <f>IF('Bear Model'!ModelYear&gt;'Bear Model'!EXP_CAP,"",I12*(1-I13))</f>
        <v>1085619.09</v>
      </c>
      <c r="J14" s="157" t="str">
        <f>IF('Bear Model'!ModelYear&gt;'Bear Model'!EXP_CAP,"",J12*(1-J13))</f>
        <v/>
      </c>
      <c r="K14" s="157" t="str">
        <f>IF('Bear Model'!ModelYear&gt;'Bear Model'!EXP_CAP,"",K12*(1-K13))</f>
        <v/>
      </c>
      <c r="L14" s="157" t="str">
        <f>IF('Bear Model'!ModelYear&gt;'Bear Model'!EXP_CAP,"",L12*(1-L13))</f>
        <v/>
      </c>
      <c r="M14" s="157" t="str">
        <f>IF('Bear Model'!ModelYear&gt;'Bear Model'!EXP_CAP,"",M12*(1-M13))</f>
        <v/>
      </c>
      <c r="N14" s="157">
        <f>N12*(1-N13)</f>
        <v>1118187.663</v>
      </c>
    </row>
    <row r="15" ht="15.75" customHeight="1">
      <c r="B15" s="77" t="s">
        <v>158</v>
      </c>
      <c r="C15" s="105"/>
      <c r="D15" s="154">
        <f>D14/C10</f>
        <v>0.1859378046</v>
      </c>
      <c r="E15" s="158">
        <v>0.145</v>
      </c>
      <c r="F15" s="155">
        <v>0.145</v>
      </c>
      <c r="G15" s="155">
        <v>0.145</v>
      </c>
      <c r="H15" s="155">
        <v>0.145</v>
      </c>
      <c r="I15" s="155">
        <v>0.145</v>
      </c>
      <c r="J15" s="155"/>
      <c r="K15" s="155"/>
      <c r="L15" s="155"/>
      <c r="M15" s="155"/>
      <c r="N15" s="154">
        <f>Dashboard!F30</f>
        <v>0.0975</v>
      </c>
    </row>
    <row r="16" ht="15.75" customHeight="1">
      <c r="B16" s="146" t="s">
        <v>242</v>
      </c>
      <c r="C16" s="105"/>
      <c r="D16" s="154">
        <f>IF('Bear Model'!ModelYear&gt;='Bear Model'!EXP_CAP,if('Bear Model'!ModelYear='Bear Model'!EXP_CAP,$N$16,""),if(E11&lt;0,0,E11/E15))</f>
        <v>0.6896551724</v>
      </c>
      <c r="E16" s="154">
        <f>IF('Bear Model'!ModelYear&gt;='Bear Model'!EXP_CAP,if('Bear Model'!ModelYear='Bear Model'!EXP_CAP,$N$16,""),if(F11&lt;0,0,F11/F15))</f>
        <v>0.6896551724</v>
      </c>
      <c r="F16" s="154">
        <f>IF('Bear Model'!ModelYear&gt;='Bear Model'!EXP_CAP,if('Bear Model'!ModelYear='Bear Model'!EXP_CAP,$N$16,""),if(G11&lt;0,0,G11/G15))</f>
        <v>0.6896551724</v>
      </c>
      <c r="G16" s="154">
        <f>IF('Bear Model'!ModelYear&gt;='Bear Model'!EXP_CAP,if('Bear Model'!ModelYear='Bear Model'!EXP_CAP,$N$16,""),if(H11&lt;0,0,H11/H15))</f>
        <v>0.6896551724</v>
      </c>
      <c r="H16" s="154">
        <f>IF('Bear Model'!ModelYear&gt;='Bear Model'!EXP_CAP,if('Bear Model'!ModelYear='Bear Model'!EXP_CAP,$N$16,""),if(I11&lt;0,0,I11/I15))</f>
        <v>0.6896551724</v>
      </c>
      <c r="I16" s="154">
        <f>IF('Bear Model'!ModelYear&gt;='Bear Model'!EXP_CAP,if('Bear Model'!ModelYear='Bear Model'!EXP_CAP,$N$16,""),if(J11&lt;0,0,J11/J15))</f>
        <v>0.3076923077</v>
      </c>
      <c r="J16" s="154" t="str">
        <f>IF('Bear Model'!ModelYear&gt;='Bear Model'!EXP_CAP,if('Bear Model'!ModelYear='Bear Model'!EXP_CAP,$N$16,""),if(K11&lt;0,0,K11/K15))</f>
        <v/>
      </c>
      <c r="K16" s="154" t="str">
        <f>IF('Bear Model'!ModelYear&gt;='Bear Model'!EXP_CAP,if('Bear Model'!ModelYear='Bear Model'!EXP_CAP,$N$16,""),if(L11&lt;0,0,L11/L15))</f>
        <v/>
      </c>
      <c r="L16" s="154" t="str">
        <f>IF('Bear Model'!ModelYear&gt;='Bear Model'!EXP_CAP,if('Bear Model'!ModelYear='Bear Model'!EXP_CAP,$N$16,""),if(M11&lt;0,0,M11/M15))</f>
        <v/>
      </c>
      <c r="M16" s="154" t="str">
        <f>IF('Bear Model'!ModelYear&gt;='Bear Model'!EXP_CAP,if('Bear Model'!ModelYear='Bear Model'!EXP_CAP,$N$16,""),if(N11&lt;0,0,N11/N15))</f>
        <v/>
      </c>
      <c r="N16" s="159">
        <f>N11/N15</f>
        <v>0.3076923077</v>
      </c>
    </row>
    <row r="17" ht="15.0" customHeight="1">
      <c r="B17" s="114" t="s">
        <v>154</v>
      </c>
      <c r="C17" s="137"/>
      <c r="D17" s="153">
        <f t="shared" ref="D17:M17" si="1">IF(D16="","",D16*D12)</f>
        <v>619847.3948</v>
      </c>
      <c r="E17" s="153">
        <f t="shared" si="1"/>
        <v>681832.1343</v>
      </c>
      <c r="F17" s="153">
        <f t="shared" si="1"/>
        <v>750015.3478</v>
      </c>
      <c r="G17" s="153">
        <f t="shared" si="1"/>
        <v>825016.8825</v>
      </c>
      <c r="H17" s="153">
        <f t="shared" si="1"/>
        <v>907518.5708</v>
      </c>
      <c r="I17" s="153">
        <f t="shared" si="1"/>
        <v>445382.1909</v>
      </c>
      <c r="J17" s="153" t="str">
        <f t="shared" si="1"/>
        <v/>
      </c>
      <c r="K17" s="153" t="str">
        <f t="shared" si="1"/>
        <v/>
      </c>
      <c r="L17" s="153" t="str">
        <f t="shared" si="1"/>
        <v/>
      </c>
      <c r="M17" s="153" t="str">
        <f t="shared" si="1"/>
        <v/>
      </c>
      <c r="N17" s="137"/>
    </row>
    <row r="18" ht="15.75" customHeight="1">
      <c r="B18" s="160" t="s">
        <v>243</v>
      </c>
      <c r="C18" s="161"/>
      <c r="D18" s="162">
        <f>IF('Bear Model'!ModelYear&gt;'Bear Model'!EXP_CAP,"",IF('Bear Model'!ModelYear='Bear Model'!EXP_CAP,'Bear Model'!Model_NOPAT*(1-D16),'Bear Model'!Model_NOPAT-D17))</f>
        <v>54236.64705</v>
      </c>
      <c r="E18" s="162">
        <f>IF('Bear Model'!ModelYear&gt;'Bear Model'!EXP_CAP,"",IF('Bear Model'!ModelYear='Bear Model'!EXP_CAP,'Bear Model'!Model_NOPAT*(1-E16),'Bear Model'!Model_NOPAT-E17))</f>
        <v>59660.31175</v>
      </c>
      <c r="F18" s="162">
        <f>IF('Bear Model'!ModelYear&gt;'Bear Model'!EXP_CAP,"",IF('Bear Model'!ModelYear='Bear Model'!EXP_CAP,'Bear Model'!Model_NOPAT*(1-F16),'Bear Model'!Model_NOPAT-F17))</f>
        <v>65626.34293</v>
      </c>
      <c r="G18" s="162">
        <f>IF('Bear Model'!ModelYear&gt;'Bear Model'!EXP_CAP,"",IF('Bear Model'!ModelYear='Bear Model'!EXP_CAP,'Bear Model'!Model_NOPAT*(1-G16),'Bear Model'!Model_NOPAT-G17))</f>
        <v>72188.97722</v>
      </c>
      <c r="H18" s="162">
        <f>IF('Bear Model'!ModelYear&gt;'Bear Model'!EXP_CAP,"",IF('Bear Model'!ModelYear='Bear Model'!EXP_CAP,'Bear Model'!Model_NOPAT*(1-H16),'Bear Model'!Model_NOPAT-H17))</f>
        <v>79407.87494</v>
      </c>
      <c r="I18" s="162">
        <f>IF('Bear Model'!ModelYear&gt;'Bear Model'!EXP_CAP,"",IF('Bear Model'!ModelYear='Bear Model'!EXP_CAP,'Bear Model'!Model_NOPAT*(1-I16),'Bear Model'!Model_NOPAT-I17))</f>
        <v>751582.4471</v>
      </c>
      <c r="J18" s="162" t="str">
        <f>IF('Bear Model'!ModelYear&gt;'Bear Model'!EXP_CAP,"",IF('Bear Model'!ModelYear='Bear Model'!EXP_CAP,'Bear Model'!Model_NOPAT*(1-J16),'Bear Model'!Model_NOPAT-J17))</f>
        <v/>
      </c>
      <c r="K18" s="162" t="str">
        <f>IF('Bear Model'!ModelYear&gt;'Bear Model'!EXP_CAP,"",IF('Bear Model'!ModelYear='Bear Model'!EXP_CAP,'Bear Model'!Model_NOPAT*(1-K16),'Bear Model'!Model_NOPAT-K17))</f>
        <v/>
      </c>
      <c r="L18" s="162" t="str">
        <f>IF('Bear Model'!ModelYear&gt;'Bear Model'!EXP_CAP,"",IF('Bear Model'!ModelYear='Bear Model'!EXP_CAP,'Bear Model'!Model_NOPAT*(1-L16),'Bear Model'!Model_NOPAT-L17))</f>
        <v/>
      </c>
      <c r="M18" s="162" t="str">
        <f>IF('Bear Model'!ModelYear&gt;'Bear Model'!EXP_CAP,"",IF('Bear Model'!ModelYear='Bear Model'!EXP_CAP,'Bear Model'!Model_NOPAT*(1-M16),'Bear Model'!Model_NOPAT-M17))</f>
        <v/>
      </c>
      <c r="N18" s="163">
        <f>N14*(1-N16)</f>
        <v>774129.9206</v>
      </c>
    </row>
    <row r="19" ht="15.75" customHeight="1">
      <c r="B19" s="146" t="s">
        <v>244</v>
      </c>
      <c r="C19" s="51"/>
      <c r="D19" s="154">
        <f>IF('Bear Model'!ModelYear&gt;'Bear Model'!EXP_CAP,"",IF('Bear Model'!ModelYear&gt;$G$6,'Bear Model'!Terminal_Wacc-$K$6/('Bear Model'!EXP_CAP-$G$6)*('Bear Model'!EXP_CAP-'Bear Model'!ModelYear),'Bear Model'!EXP_Wacc))</f>
        <v>0.075</v>
      </c>
      <c r="E19" s="154">
        <f>IF('Bear Model'!ModelYear&gt;'Bear Model'!EXP_CAP,"",IF('Bear Model'!ModelYear&gt;$G$6,'Bear Model'!Terminal_Wacc-$K$6/('Bear Model'!EXP_CAP-$G$6)*('Bear Model'!EXP_CAP-'Bear Model'!ModelYear),'Bear Model'!EXP_Wacc))</f>
        <v>0.075</v>
      </c>
      <c r="F19" s="154">
        <f>IF('Bear Model'!ModelYear&gt;'Bear Model'!EXP_CAP,"",IF('Bear Model'!ModelYear&gt;$G$6,'Bear Model'!Terminal_Wacc-$K$6/('Bear Model'!EXP_CAP-$G$6)*('Bear Model'!EXP_CAP-'Bear Model'!ModelYear),'Bear Model'!EXP_Wacc))</f>
        <v>0.075</v>
      </c>
      <c r="G19" s="154">
        <f>IF('Bear Model'!ModelYear&gt;'Bear Model'!EXP_CAP,"",IF('Bear Model'!ModelYear&gt;$G$6,'Bear Model'!Terminal_Wacc-$K$6/('Bear Model'!EXP_CAP-$G$6)*('Bear Model'!EXP_CAP-'Bear Model'!ModelYear),'Bear Model'!EXP_Wacc))</f>
        <v>0.0825</v>
      </c>
      <c r="H19" s="154">
        <f>IF('Bear Model'!ModelYear&gt;'Bear Model'!EXP_CAP,"",IF('Bear Model'!ModelYear&gt;$G$6,'Bear Model'!Terminal_Wacc-$K$6/('Bear Model'!EXP_CAP-$G$6)*('Bear Model'!EXP_CAP-'Bear Model'!ModelYear),'Bear Model'!EXP_Wacc))</f>
        <v>0.09</v>
      </c>
      <c r="I19" s="154">
        <f>IF('Bear Model'!ModelYear&gt;'Bear Model'!EXP_CAP,"",IF('Bear Model'!ModelYear&gt;$G$6,'Bear Model'!Terminal_Wacc-$K$6/('Bear Model'!EXP_CAP-$G$6)*('Bear Model'!EXP_CAP-'Bear Model'!ModelYear),'Bear Model'!EXP_Wacc))</f>
        <v>0.0975</v>
      </c>
      <c r="J19" s="154" t="str">
        <f>IF('Bear Model'!ModelYear&gt;'Bear Model'!EXP_CAP,"",IF('Bear Model'!ModelYear&gt;$G$6,'Bear Model'!Terminal_Wacc-$K$6/('Bear Model'!EXP_CAP-$G$6)*('Bear Model'!EXP_CAP-'Bear Model'!ModelYear),'Bear Model'!EXP_Wacc))</f>
        <v/>
      </c>
      <c r="K19" s="154" t="str">
        <f>IF('Bear Model'!ModelYear&gt;'Bear Model'!EXP_CAP,"",IF('Bear Model'!ModelYear&gt;$G$6,'Bear Model'!Terminal_Wacc-$K$6/('Bear Model'!EXP_CAP-$G$6)*('Bear Model'!EXP_CAP-'Bear Model'!ModelYear),'Bear Model'!EXP_Wacc))</f>
        <v/>
      </c>
      <c r="L19" s="154" t="str">
        <f>IF('Bear Model'!ModelYear&gt;'Bear Model'!EXP_CAP,"",IF('Bear Model'!ModelYear&gt;$G$6,'Bear Model'!Terminal_Wacc-$K$6/('Bear Model'!EXP_CAP-$G$6)*('Bear Model'!EXP_CAP-'Bear Model'!ModelYear),'Bear Model'!EXP_Wacc))</f>
        <v/>
      </c>
      <c r="M19" s="154" t="str">
        <f>IF('Bear Model'!ModelYear&gt;'Bear Model'!EXP_CAP,"",IF('Bear Model'!ModelYear&gt;$G$6,'Bear Model'!Terminal_Wacc-$K$6/('Bear Model'!EXP_CAP-$G$6)*('Bear Model'!EXP_CAP-'Bear Model'!ModelYear),'Bear Model'!EXP_Wacc))</f>
        <v/>
      </c>
      <c r="N19" s="154">
        <f>'Bear Model'!Terminal_Wacc</f>
        <v>0.0975</v>
      </c>
    </row>
    <row r="20" ht="15.75" customHeight="1">
      <c r="B20" s="164" t="s">
        <v>245</v>
      </c>
      <c r="C20" s="165"/>
      <c r="D20" s="159">
        <f>IF('Bear Model'!ModelYear&gt;'Bear Model'!EXP_CAP,"",1+D19)</f>
        <v>1.075</v>
      </c>
      <c r="E20" s="159">
        <f>IF('Bear Model'!ModelYear&gt;'Bear Model'!EXP_CAP,"",(1+D19)*(1+E19))</f>
        <v>1.155625</v>
      </c>
      <c r="F20" s="159">
        <f>IF('Bear Model'!ModelYear&gt;'Bear Model'!EXP_CAP,"",(1+D19)*(1+E19)*(1+F19))</f>
        <v>1.242296875</v>
      </c>
      <c r="G20" s="159">
        <f>IF('Bear Model'!ModelYear&gt;'Bear Model'!EXP_CAP,"",(1+D19)*(1+E19)*(1+F19)*(1+G19))</f>
        <v>1.344786367</v>
      </c>
      <c r="H20" s="159">
        <f>IF('Bear Model'!ModelYear&gt;'Bear Model'!EXP_CAP,"",(1+D19)*(1+E19)*(1+F19)*(1+G19)*(1+H19))</f>
        <v>1.46581714</v>
      </c>
      <c r="I20" s="159">
        <f>IF('Bear Model'!ModelYear&gt;'Bear Model'!EXP_CAP,"",(1+D19)*(1+E19)*(1+F19)*(1+G19)*(1+H19)*(1+I19))</f>
        <v>1.608734311</v>
      </c>
      <c r="J20" s="159" t="str">
        <f>IF('Bear Model'!ModelYear&gt;'Bear Model'!EXP_CAP,"",(1+D19)*(1+E19)*(1+F19)*(1+G19)*(1+H19)*(1+I19)*(1+J19))</f>
        <v/>
      </c>
      <c r="K20" s="159" t="str">
        <f>IF('Bear Model'!ModelYear&gt;'Bear Model'!EXP_CAP,"",(1+D19)*(1+E19)*(1+F19)*(1+G19)*(1+H19)*(1+I19)*(1+J19)*(1+K19))</f>
        <v/>
      </c>
      <c r="L20" s="159" t="str">
        <f>IF('Bear Model'!ModelYear&gt;'Bear Model'!EXP_CAP,"",(1+D19)*(1+E19)*(1+F19)*(1+G19)*(1+H19)*(1+I19)*(1+J19)*(1+K19)*(1+L19))</f>
        <v/>
      </c>
      <c r="M20" s="159" t="str">
        <f>IF('Bear Model'!ModelYear&gt;'Bear Model'!EXP_CAP,"",(1+D19)*(1+E19)*(1+F19)*(1+G19)*(1+H19)*(1+I19)*(1+J19)*(1+K19)*(1+L19)*(1+M19))</f>
        <v/>
      </c>
      <c r="N20" s="166"/>
    </row>
    <row r="21" ht="15.75" customHeight="1">
      <c r="B21" s="167" t="s">
        <v>246</v>
      </c>
      <c r="C21" s="168"/>
      <c r="D21" s="163">
        <f>IF('Bear Model'!ModelYear&gt;'Bear Model'!EXP_CAP,"",'Bear Model'!Model_FCFF/D20)</f>
        <v>50452.69493</v>
      </c>
      <c r="E21" s="163">
        <f>IF('Bear Model'!ModelYear&gt;'Bear Model'!EXP_CAP,"",'Bear Model'!Model_FCFF/E20)</f>
        <v>51626.01342</v>
      </c>
      <c r="F21" s="163">
        <f>IF('Bear Model'!ModelYear&gt;'Bear Model'!EXP_CAP,"",'Bear Model'!Model_FCFF/F20)</f>
        <v>52826.61838</v>
      </c>
      <c r="G21" s="163">
        <f>IF('Bear Model'!ModelYear&gt;'Bear Model'!EXP_CAP,"",'Bear Model'!Model_FCFF/G20)</f>
        <v>53680.62838</v>
      </c>
      <c r="H21" s="163">
        <f>IF('Bear Model'!ModelYear&gt;'Bear Model'!EXP_CAP,"",'Bear Model'!Model_FCFF/H20)</f>
        <v>54173.11121</v>
      </c>
      <c r="I21" s="163">
        <f>IF('Bear Model'!ModelYear&gt;'Bear Model'!EXP_CAP,"",'Bear Model'!Model_FCFF/I20)</f>
        <v>467188.6724</v>
      </c>
      <c r="J21" s="163" t="str">
        <f>IF('Bear Model'!ModelYear&gt;'Bear Model'!EXP_CAP,"",'Bear Model'!Model_FCFF/J20)</f>
        <v/>
      </c>
      <c r="K21" s="163" t="str">
        <f>IF('Bear Model'!ModelYear&gt;'Bear Model'!EXP_CAP,"",'Bear Model'!Model_FCFF/K20)</f>
        <v/>
      </c>
      <c r="L21" s="163" t="str">
        <f>IF('Bear Model'!ModelYear&gt;'Bear Model'!EXP_CAP,"",'Bear Model'!Model_FCFF/L20)</f>
        <v/>
      </c>
      <c r="M21" s="163" t="str">
        <f>IF('Bear Model'!ModelYear&gt;'Bear Model'!EXP_CAP,"",'Bear Model'!Model_FCFF/M20)</f>
        <v/>
      </c>
      <c r="N21" s="166"/>
    </row>
    <row r="22" ht="15.75" customHeight="1"/>
    <row r="23" ht="15.75" customHeight="1">
      <c r="B23" s="102" t="s">
        <v>247</v>
      </c>
      <c r="D23" s="62" t="s">
        <v>248</v>
      </c>
      <c r="E23" s="62" t="s">
        <v>249</v>
      </c>
    </row>
    <row r="24" ht="15.75" customHeight="1">
      <c r="B24" s="169" t="s">
        <v>250</v>
      </c>
      <c r="D24" s="154">
        <f>E24/E27</f>
        <v>0.07955539948</v>
      </c>
      <c r="E24" s="170">
        <f>SUM(D21:M21)</f>
        <v>729947.7387</v>
      </c>
      <c r="F24" s="4"/>
    </row>
    <row r="25" ht="15.75" customHeight="1">
      <c r="B25" s="169" t="s">
        <v>251</v>
      </c>
      <c r="D25" s="154">
        <f>1-D24</f>
        <v>0.9204446005</v>
      </c>
      <c r="E25" s="170">
        <f>N18/('Bear Model'!Terminal_Wacc-'Bear Model'!Terminal_EbitGrowth)/IF('Bear Model'!EXP_CAP=0,1,INDIRECT(ADDRESS(ROW(B20),'Bear Model'!EXP_CAP+2)))</f>
        <v>7824025.999</v>
      </c>
      <c r="F25" s="4"/>
    </row>
    <row r="26" ht="15.75" customHeight="1">
      <c r="B26" s="169" t="s">
        <v>252</v>
      </c>
      <c r="E26" s="170">
        <f>IF(Data!D69="Yes",Data!D71,Data!D72)+Data!C22</f>
        <v>621365</v>
      </c>
      <c r="F26" s="4"/>
    </row>
    <row r="27" ht="15.75" customHeight="1">
      <c r="B27" s="62" t="s">
        <v>253</v>
      </c>
      <c r="E27" s="171">
        <f>E24+E25+E26</f>
        <v>9175338.738</v>
      </c>
      <c r="F27" s="172"/>
    </row>
    <row r="28" ht="15.75" customHeight="1"/>
    <row r="29" ht="15.75" customHeight="1">
      <c r="B29" s="62" t="s">
        <v>254</v>
      </c>
      <c r="E29" s="170">
        <f>Data!D65</f>
        <v>677586</v>
      </c>
      <c r="F29" s="4"/>
    </row>
    <row r="30" ht="15.75" customHeight="1">
      <c r="B30" s="62" t="s">
        <v>255</v>
      </c>
      <c r="E30" s="173">
        <f>E27-E29</f>
        <v>8497752.738</v>
      </c>
      <c r="F30" s="35"/>
    </row>
    <row r="31" ht="15.75" customHeight="1">
      <c r="B31" s="62" t="s">
        <v>256</v>
      </c>
      <c r="E31" s="170">
        <f>Data!F75</f>
        <v>311186</v>
      </c>
      <c r="F31" s="4"/>
    </row>
    <row r="32" ht="15.75" customHeight="1">
      <c r="B32" s="62" t="s">
        <v>257</v>
      </c>
      <c r="E32" s="170">
        <f>Data!D66</f>
        <v>0</v>
      </c>
      <c r="F32" s="4"/>
    </row>
    <row r="33" ht="15.75" customHeight="1">
      <c r="B33" s="62" t="s">
        <v>258</v>
      </c>
      <c r="E33" s="173">
        <f>E30-E31-E32</f>
        <v>8186566.738</v>
      </c>
      <c r="F33" s="35"/>
      <c r="G33" s="174" t="str">
        <f>Dashboard!C12</f>
        <v>HKD</v>
      </c>
      <c r="I33" s="175" t="s">
        <v>259</v>
      </c>
      <c r="J33" s="176">
        <f>F34/((Data!F4*Dashboard!C13)/(Dashboard!C8/Data!F3))</f>
        <v>-51.56892433</v>
      </c>
    </row>
    <row r="34" ht="15.75" customHeight="1">
      <c r="B34" s="62" t="s">
        <v>260</v>
      </c>
      <c r="F34" s="177">
        <f>E33*Data!F3/Cs_Shares*Dashboard!C13</f>
        <v>7.645273464</v>
      </c>
      <c r="G34" s="178" t="str">
        <f>Dashboard!D7</f>
        <v>HKD</v>
      </c>
      <c r="I34" s="175" t="s">
        <v>261</v>
      </c>
      <c r="J34" s="179">
        <f>F34/(IF(Data!C20="",Data!D20,Data!C20)*Data!F3/Cs_Shares)</f>
        <v>2.293734844</v>
      </c>
    </row>
    <row r="35" ht="15.75" customHeight="1"/>
    <row r="36" ht="15.75" customHeight="1">
      <c r="B36" s="102" t="s">
        <v>262</v>
      </c>
      <c r="C36" s="62" t="s">
        <v>263</v>
      </c>
      <c r="E36" s="180" t="str">
        <f>G34</f>
        <v>HKD</v>
      </c>
      <c r="F36" s="98">
        <f>Dashboard!C7</f>
        <v>11.94</v>
      </c>
      <c r="G36" s="62" t="s">
        <v>264</v>
      </c>
      <c r="H36" s="181">
        <f>F36/F34-1</f>
        <v>0.5617492371</v>
      </c>
      <c r="I36" s="62" t="str">
        <f>IF(H36&lt;0,"undervalued","overvalued") &amp; " by the market."</f>
        <v>overvalued by the market.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E31:F31"/>
    <mergeCell ref="E32:F32"/>
    <mergeCell ref="E33:F33"/>
    <mergeCell ref="B2:D2"/>
    <mergeCell ref="E24:F24"/>
    <mergeCell ref="E25:F25"/>
    <mergeCell ref="E26:F26"/>
    <mergeCell ref="E27:F27"/>
    <mergeCell ref="E29:F29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38" t="s">
        <v>226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02" t="s">
        <v>227</v>
      </c>
      <c r="C3" s="139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40" t="s">
        <v>228</v>
      </c>
      <c r="C4" s="1"/>
      <c r="D4" s="1"/>
      <c r="E4" s="140"/>
      <c r="F4" s="1"/>
      <c r="G4" s="1"/>
      <c r="H4" s="1"/>
      <c r="I4" s="140" t="s">
        <v>229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2" t="s">
        <v>230</v>
      </c>
      <c r="C5" s="141">
        <f>Dashboard!G12</f>
        <v>0.075</v>
      </c>
      <c r="D5" s="1"/>
      <c r="E5" s="62" t="s">
        <v>231</v>
      </c>
      <c r="F5" s="1"/>
      <c r="G5" s="142">
        <f>Dashboard!D28</f>
        <v>6</v>
      </c>
      <c r="H5" s="1"/>
      <c r="I5" s="62" t="s">
        <v>230</v>
      </c>
      <c r="J5" s="1"/>
      <c r="K5" s="141">
        <f>Dashboard!G13</f>
        <v>0.0975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 t="s">
        <v>232</v>
      </c>
      <c r="C6" s="86">
        <f>(INDIRECT(ADDRESS(ROW(B12),'Base Model'!EXP_CAP+3))/C12)^(1/'Base Model'!EXP_CAP)-1</f>
        <v>0.1</v>
      </c>
      <c r="D6" s="1"/>
      <c r="E6" s="62" t="s">
        <v>233</v>
      </c>
      <c r="F6" s="1"/>
      <c r="G6" s="143">
        <f>_xlfn.FLOOR.MATH((G5/2))</f>
        <v>3</v>
      </c>
      <c r="H6" s="1"/>
      <c r="I6" s="1" t="s">
        <v>234</v>
      </c>
      <c r="J6" s="1"/>
      <c r="K6" s="86">
        <f>'Base Model'!Terminal_Wacc-'Base Model'!EXP_Wacc</f>
        <v>0.0225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02" t="s">
        <v>235</v>
      </c>
      <c r="C8" s="62" t="s">
        <v>236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44" t="str">
        <f>"(Numbers in "&amp;Data!F3&amp;Dashboard!C12&amp;")"</f>
        <v>(Numbers in 1000HKD)</v>
      </c>
      <c r="C9" s="145" t="str">
        <f>Data!C6</f>
        <v>FY 2021</v>
      </c>
      <c r="D9" s="145">
        <v>1.0</v>
      </c>
      <c r="E9" s="145">
        <v>2.0</v>
      </c>
      <c r="F9" s="145">
        <v>3.0</v>
      </c>
      <c r="G9" s="145">
        <v>4.0</v>
      </c>
      <c r="H9" s="145">
        <v>5.0</v>
      </c>
      <c r="I9" s="145">
        <v>6.0</v>
      </c>
      <c r="J9" s="145">
        <v>7.0</v>
      </c>
      <c r="K9" s="145">
        <v>8.0</v>
      </c>
      <c r="L9" s="145">
        <v>9.0</v>
      </c>
      <c r="M9" s="145">
        <v>10.0</v>
      </c>
      <c r="N9" s="145" t="s">
        <v>237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46" t="s">
        <v>238</v>
      </c>
      <c r="C10" s="147">
        <f>IF(Data!D83="No",Data!C105,Data!D105)</f>
        <v>3625320</v>
      </c>
      <c r="D10" s="147">
        <f>IF('Base Model'!ModelYear&gt;'Base Model'!EXP_CAP,"",C10+C17)</f>
        <v>3625320</v>
      </c>
      <c r="E10" s="147">
        <f>IF('Base Model'!ModelYear&gt;'Base Model'!EXP_CAP,"",D10+D17)</f>
        <v>4244585.014</v>
      </c>
      <c r="F10" s="147">
        <f>IF('Base Model'!ModelYear&gt;'Base Model'!EXP_CAP,"",E10+E17)</f>
        <v>4925776.529</v>
      </c>
      <c r="G10" s="147">
        <f>IF('Base Model'!ModelYear&gt;'Base Model'!EXP_CAP,"",F10+F17)</f>
        <v>5675087.196</v>
      </c>
      <c r="H10" s="147">
        <f>IF('Base Model'!ModelYear&gt;'Base Model'!EXP_CAP,"",G10+G17)</f>
        <v>6499328.93</v>
      </c>
      <c r="I10" s="147">
        <f>IF('Base Model'!ModelYear&gt;'Base Model'!EXP_CAP,"",H10+H17)</f>
        <v>7405994.837</v>
      </c>
      <c r="J10" s="147" t="str">
        <f>IF('Base Model'!ModelYear&gt;'Base Model'!EXP_CAP,"",I10+I17)</f>
        <v/>
      </c>
      <c r="K10" s="147" t="str">
        <f>IF('Base Model'!ModelYear&gt;'Base Model'!EXP_CAP,"",J10+J17)</f>
        <v/>
      </c>
      <c r="L10" s="147" t="str">
        <f>IF('Base Model'!ModelYear&gt;'Base Model'!EXP_CAP,"",K10+K17)</f>
        <v/>
      </c>
      <c r="M10" s="147" t="str">
        <f>IF('Base Model'!ModelYear&gt;'Base Model'!EXP_CAP,"",L10+L17)</f>
        <v/>
      </c>
      <c r="N10" s="5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48" t="s">
        <v>239</v>
      </c>
      <c r="C11" s="149"/>
      <c r="D11" s="151">
        <v>0.1</v>
      </c>
      <c r="E11" s="151">
        <v>0.1</v>
      </c>
      <c r="F11" s="151">
        <v>0.1</v>
      </c>
      <c r="G11" s="151">
        <v>0.1</v>
      </c>
      <c r="H11" s="151">
        <v>0.1</v>
      </c>
      <c r="I11" s="151">
        <v>0.1</v>
      </c>
      <c r="J11" s="151" t="str">
        <f>IF('Base Model'!ModelYear&gt;'Base Model'!EXP_CAP,"",#REF!*I16+(#REF!-I15)/#REF!)</f>
        <v/>
      </c>
      <c r="K11" s="151" t="str">
        <f>IF('Base Model'!ModelYear&gt;'Base Model'!EXP_CAP,"",#REF!*J16+(#REF!-J15)/#REF!)</f>
        <v/>
      </c>
      <c r="L11" s="151" t="str">
        <f>IF('Base Model'!ModelYear&gt;'Base Model'!EXP_CAP,"",#REF!*K16+(#REF!-K15)/#REF!)</f>
        <v/>
      </c>
      <c r="M11" s="151" t="str">
        <f>IF('Base Model'!ModelYear&gt;'Base Model'!EXP_CAP,"",#REF!*L16+(#REF!-L15)/#REF!)</f>
        <v/>
      </c>
      <c r="N11" s="152">
        <f>'Base Model'!Terminal_EbitGrowth</f>
        <v>0.03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62" t="s">
        <v>240</v>
      </c>
      <c r="C12" s="153">
        <f>IF(Data!D83="No",Data!C101,Data!D101)</f>
        <v>872600.7015</v>
      </c>
      <c r="D12" s="153">
        <f>IF('Base Model'!ModelYear&gt;'Base Model'!EXP_CAP,"",C12*(1+'Base Model'!Model_EbitGrowth))</f>
        <v>959860.7716</v>
      </c>
      <c r="E12" s="153">
        <f>IF('Base Model'!ModelYear&gt;'Base Model'!EXP_CAP,"",D12*(1+'Base Model'!Model_EbitGrowth))</f>
        <v>1055846.849</v>
      </c>
      <c r="F12" s="153">
        <f>IF('Base Model'!ModelYear&gt;'Base Model'!EXP_CAP,"",E12*(1+'Base Model'!Model_EbitGrowth))</f>
        <v>1161431.534</v>
      </c>
      <c r="G12" s="153">
        <f>IF('Base Model'!ModelYear&gt;'Base Model'!EXP_CAP,"",F12*(1+'Base Model'!Model_EbitGrowth))</f>
        <v>1277574.687</v>
      </c>
      <c r="H12" s="153">
        <f>IF('Base Model'!ModelYear&gt;'Base Model'!EXP_CAP,"",G12*(1+'Base Model'!Model_EbitGrowth))</f>
        <v>1405332.156</v>
      </c>
      <c r="I12" s="153">
        <f>IF('Base Model'!ModelYear&gt;'Base Model'!EXP_CAP,"",H12*(1+'Base Model'!Model_EbitGrowth))</f>
        <v>1545865.371</v>
      </c>
      <c r="J12" s="153" t="str">
        <f>IF('Base Model'!ModelYear&gt;'Base Model'!EXP_CAP,"",I12*(1+'Base Model'!Model_EbitGrowth))</f>
        <v/>
      </c>
      <c r="K12" s="153" t="str">
        <f>IF('Base Model'!ModelYear&gt;'Base Model'!EXP_CAP,"",J12*(1+'Base Model'!Model_EbitGrowth))</f>
        <v/>
      </c>
      <c r="L12" s="153" t="str">
        <f>IF('Base Model'!ModelYear&gt;'Base Model'!EXP_CAP,"",K12*(1+'Base Model'!Model_EbitGrowth))</f>
        <v/>
      </c>
      <c r="M12" s="153" t="str">
        <f>IF('Base Model'!ModelYear&gt;'Base Model'!EXP_CAP,"",L12*(1+'Base Model'!Model_EbitGrowth))</f>
        <v/>
      </c>
      <c r="N12" s="153">
        <f>INDIRECT(ADDRESS(ROW(B12),'Base Model'!EXP_CAP+3))*(1+'Base Model'!Terminal_EbitGrowth)</f>
        <v>1592241.332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46" t="s">
        <v>241</v>
      </c>
      <c r="C13" s="154">
        <f>Data!F53</f>
        <v>0.316</v>
      </c>
      <c r="D13" s="155">
        <v>0.25</v>
      </c>
      <c r="E13" s="155">
        <v>0.25</v>
      </c>
      <c r="F13" s="155">
        <v>0.25</v>
      </c>
      <c r="G13" s="155">
        <v>0.25</v>
      </c>
      <c r="H13" s="155">
        <v>0.25</v>
      </c>
      <c r="I13" s="155">
        <v>0.25</v>
      </c>
      <c r="J13" s="155"/>
      <c r="K13" s="155"/>
      <c r="L13" s="155"/>
      <c r="M13" s="155"/>
      <c r="N13" s="154">
        <f>Data!D52</f>
        <v>0.25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56" t="s">
        <v>136</v>
      </c>
      <c r="C14" s="157">
        <f>IF(Data!D83="No",Data!C103,Data!D103)</f>
        <v>104736.816</v>
      </c>
      <c r="D14" s="157">
        <f>IF('Base Model'!ModelYear&gt;'Base Model'!EXP_CAP,"",D12*(1-D13))</f>
        <v>719895.5787</v>
      </c>
      <c r="E14" s="157">
        <f>IF('Base Model'!ModelYear&gt;'Base Model'!EXP_CAP,"",E12*(1-E13))</f>
        <v>791885.1366</v>
      </c>
      <c r="F14" s="157">
        <f>IF('Base Model'!ModelYear&gt;'Base Model'!EXP_CAP,"",F12*(1-F13))</f>
        <v>871073.6503</v>
      </c>
      <c r="G14" s="157">
        <f>IF('Base Model'!ModelYear&gt;'Base Model'!EXP_CAP,"",G12*(1-G13))</f>
        <v>958181.0153</v>
      </c>
      <c r="H14" s="157">
        <f>IF('Base Model'!ModelYear&gt;'Base Model'!EXP_CAP,"",H12*(1-H13))</f>
        <v>1053999.117</v>
      </c>
      <c r="I14" s="157">
        <f>IF('Base Model'!ModelYear&gt;'Base Model'!EXP_CAP,"",I12*(1-I13))</f>
        <v>1159399.028</v>
      </c>
      <c r="J14" s="157" t="str">
        <f>IF('Base Model'!ModelYear&gt;'Base Model'!EXP_CAP,"",J12*(1-J13))</f>
        <v/>
      </c>
      <c r="K14" s="157" t="str">
        <f>IF('Base Model'!ModelYear&gt;'Base Model'!EXP_CAP,"",K12*(1-K13))</f>
        <v/>
      </c>
      <c r="L14" s="157" t="str">
        <f>IF('Base Model'!ModelYear&gt;'Base Model'!EXP_CAP,"",L12*(1-L13))</f>
        <v/>
      </c>
      <c r="M14" s="157" t="str">
        <f>IF('Base Model'!ModelYear&gt;'Base Model'!EXP_CAP,"",M12*(1-M13))</f>
        <v/>
      </c>
      <c r="N14" s="157">
        <f>N12*(1-N13)</f>
        <v>1194180.999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7" t="s">
        <v>158</v>
      </c>
      <c r="C15" s="105"/>
      <c r="D15" s="154">
        <f>D14/C10</f>
        <v>0.1985743545</v>
      </c>
      <c r="E15" s="155">
        <v>0.155</v>
      </c>
      <c r="F15" s="155">
        <v>0.155</v>
      </c>
      <c r="G15" s="155">
        <v>0.155</v>
      </c>
      <c r="H15" s="155">
        <v>0.155</v>
      </c>
      <c r="I15" s="155">
        <v>0.155</v>
      </c>
      <c r="J15" s="155"/>
      <c r="K15" s="155"/>
      <c r="L15" s="155"/>
      <c r="M15" s="155"/>
      <c r="N15" s="154">
        <f>Dashboard!F30</f>
        <v>0.0975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46" t="s">
        <v>242</v>
      </c>
      <c r="C16" s="105"/>
      <c r="D16" s="154">
        <f>IF('Base Model'!ModelYear&gt;='Base Model'!EXP_CAP,if('Base Model'!ModelYear='Base Model'!EXP_CAP,$N$16,""),if(E11&lt;0,0,E11/E15))</f>
        <v>0.6451612903</v>
      </c>
      <c r="E16" s="154">
        <f>IF('Base Model'!ModelYear&gt;='Base Model'!EXP_CAP,if('Base Model'!ModelYear='Base Model'!EXP_CAP,$N$16,""),if(F11&lt;0,0,F11/F15))</f>
        <v>0.6451612903</v>
      </c>
      <c r="F16" s="154">
        <f>IF('Base Model'!ModelYear&gt;='Base Model'!EXP_CAP,if('Base Model'!ModelYear='Base Model'!EXP_CAP,$N$16,""),if(G11&lt;0,0,G11/G15))</f>
        <v>0.6451612903</v>
      </c>
      <c r="G16" s="154">
        <f>IF('Base Model'!ModelYear&gt;='Base Model'!EXP_CAP,if('Base Model'!ModelYear='Base Model'!EXP_CAP,$N$16,""),if(H11&lt;0,0,H11/H15))</f>
        <v>0.6451612903</v>
      </c>
      <c r="H16" s="154">
        <f>IF('Base Model'!ModelYear&gt;='Base Model'!EXP_CAP,if('Base Model'!ModelYear='Base Model'!EXP_CAP,$N$16,""),if(I11&lt;0,0,I11/I15))</f>
        <v>0.6451612903</v>
      </c>
      <c r="I16" s="154">
        <f>IF('Base Model'!ModelYear&gt;='Base Model'!EXP_CAP,if('Base Model'!ModelYear='Base Model'!EXP_CAP,$N$16,""),if(J11&lt;0,0,J11/J15))</f>
        <v>0.3076923077</v>
      </c>
      <c r="J16" s="154" t="str">
        <f>IF('Base Model'!ModelYear&gt;='Base Model'!EXP_CAP,if('Base Model'!ModelYear='Base Model'!EXP_CAP,$N$16,""),if(K11&lt;0,0,K11/K15))</f>
        <v/>
      </c>
      <c r="K16" s="154" t="str">
        <f>IF('Base Model'!ModelYear&gt;='Base Model'!EXP_CAP,if('Base Model'!ModelYear='Base Model'!EXP_CAP,$N$16,""),if(L11&lt;0,0,L11/L15))</f>
        <v/>
      </c>
      <c r="L16" s="154" t="str">
        <f>IF('Base Model'!ModelYear&gt;='Base Model'!EXP_CAP,if('Base Model'!ModelYear='Base Model'!EXP_CAP,$N$16,""),if(M11&lt;0,0,M11/M15))</f>
        <v/>
      </c>
      <c r="M16" s="154" t="str">
        <f>IF('Base Model'!ModelYear&gt;='Base Model'!EXP_CAP,if('Base Model'!ModelYear='Base Model'!EXP_CAP,$N$16,""),if(N11&lt;0,0,N11/N15))</f>
        <v/>
      </c>
      <c r="N16" s="159">
        <f>N11/N15</f>
        <v>0.3076923077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14" t="s">
        <v>154</v>
      </c>
      <c r="C17" s="137"/>
      <c r="D17" s="153">
        <f t="shared" ref="D17:M17" si="1">IF(D16="","",D16*D12)</f>
        <v>619265.014</v>
      </c>
      <c r="E17" s="153">
        <f t="shared" si="1"/>
        <v>681191.5153</v>
      </c>
      <c r="F17" s="153">
        <f t="shared" si="1"/>
        <v>749310.6669</v>
      </c>
      <c r="G17" s="153">
        <f t="shared" si="1"/>
        <v>824241.7336</v>
      </c>
      <c r="H17" s="153">
        <f t="shared" si="1"/>
        <v>906665.9069</v>
      </c>
      <c r="I17" s="153">
        <f t="shared" si="1"/>
        <v>475650.8835</v>
      </c>
      <c r="J17" s="153" t="str">
        <f t="shared" si="1"/>
        <v/>
      </c>
      <c r="K17" s="153" t="str">
        <f t="shared" si="1"/>
        <v/>
      </c>
      <c r="L17" s="153" t="str">
        <f t="shared" si="1"/>
        <v/>
      </c>
      <c r="M17" s="153" t="str">
        <f t="shared" si="1"/>
        <v/>
      </c>
      <c r="N17" s="13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60" t="s">
        <v>243</v>
      </c>
      <c r="C18" s="161"/>
      <c r="D18" s="162">
        <f>IF('Base Model'!ModelYear&gt;'Base Model'!EXP_CAP,"",IF('Base Model'!ModelYear='Base Model'!EXP_CAP,'Base Model'!Model_NOPAT*(1-D16),'Base Model'!Model_NOPAT-D17))</f>
        <v>100630.5648</v>
      </c>
      <c r="E18" s="162">
        <f>IF('Base Model'!ModelYear&gt;'Base Model'!EXP_CAP,"",IF('Base Model'!ModelYear='Base Model'!EXP_CAP,'Base Model'!Model_NOPAT*(1-E16),'Base Model'!Model_NOPAT-E17))</f>
        <v>110693.6212</v>
      </c>
      <c r="F18" s="162">
        <f>IF('Base Model'!ModelYear&gt;'Base Model'!EXP_CAP,"",IF('Base Model'!ModelYear='Base Model'!EXP_CAP,'Base Model'!Model_NOPAT*(1-F16),'Base Model'!Model_NOPAT-F17))</f>
        <v>121762.9834</v>
      </c>
      <c r="G18" s="162">
        <f>IF('Base Model'!ModelYear&gt;'Base Model'!EXP_CAP,"",IF('Base Model'!ModelYear='Base Model'!EXP_CAP,'Base Model'!Model_NOPAT*(1-G16),'Base Model'!Model_NOPAT-G17))</f>
        <v>133939.2817</v>
      </c>
      <c r="H18" s="162">
        <f>IF('Base Model'!ModelYear&gt;'Base Model'!EXP_CAP,"",IF('Base Model'!ModelYear='Base Model'!EXP_CAP,'Base Model'!Model_NOPAT*(1-H16),'Base Model'!Model_NOPAT-H17))</f>
        <v>147333.2099</v>
      </c>
      <c r="I18" s="162">
        <f>IF('Base Model'!ModelYear&gt;'Base Model'!EXP_CAP,"",IF('Base Model'!ModelYear='Base Model'!EXP_CAP,'Base Model'!Model_NOPAT*(1-I16),'Base Model'!Model_NOPAT-I17))</f>
        <v>802660.8659</v>
      </c>
      <c r="J18" s="162" t="str">
        <f>IF('Base Model'!ModelYear&gt;'Base Model'!EXP_CAP,"",IF('Base Model'!ModelYear='Base Model'!EXP_CAP,'Base Model'!Model_NOPAT*(1-J16),'Base Model'!Model_NOPAT-J17))</f>
        <v/>
      </c>
      <c r="K18" s="162" t="str">
        <f>IF('Base Model'!ModelYear&gt;'Base Model'!EXP_CAP,"",IF('Base Model'!ModelYear='Base Model'!EXP_CAP,'Base Model'!Model_NOPAT*(1-K16),'Base Model'!Model_NOPAT-K17))</f>
        <v/>
      </c>
      <c r="L18" s="162" t="str">
        <f>IF('Base Model'!ModelYear&gt;'Base Model'!EXP_CAP,"",IF('Base Model'!ModelYear='Base Model'!EXP_CAP,'Base Model'!Model_NOPAT*(1-L16),'Base Model'!Model_NOPAT-L17))</f>
        <v/>
      </c>
      <c r="M18" s="162" t="str">
        <f>IF('Base Model'!ModelYear&gt;'Base Model'!EXP_CAP,"",IF('Base Model'!ModelYear='Base Model'!EXP_CAP,'Base Model'!Model_NOPAT*(1-M16),'Base Model'!Model_NOPAT-M17))</f>
        <v/>
      </c>
      <c r="N18" s="163">
        <f>N14*(1-N16)</f>
        <v>826740.6918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46" t="s">
        <v>244</v>
      </c>
      <c r="C19" s="51"/>
      <c r="D19" s="154">
        <f>IF('Base Model'!ModelYear&gt;'Base Model'!EXP_CAP,"",IF('Base Model'!ModelYear&gt;$G$6,'Base Model'!Terminal_Wacc-$K$6/('Base Model'!EXP_CAP-$G$6)*('Base Model'!EXP_CAP-'Base Model'!ModelYear),'Base Model'!EXP_Wacc))</f>
        <v>0.075</v>
      </c>
      <c r="E19" s="154">
        <f>IF('Base Model'!ModelYear&gt;'Base Model'!EXP_CAP,"",IF('Base Model'!ModelYear&gt;$G$6,'Base Model'!Terminal_Wacc-$K$6/('Base Model'!EXP_CAP-$G$6)*('Base Model'!EXP_CAP-'Base Model'!ModelYear),'Base Model'!EXP_Wacc))</f>
        <v>0.075</v>
      </c>
      <c r="F19" s="154">
        <f>IF('Base Model'!ModelYear&gt;'Base Model'!EXP_CAP,"",IF('Base Model'!ModelYear&gt;$G$6,'Base Model'!Terminal_Wacc-$K$6/('Base Model'!EXP_CAP-$G$6)*('Base Model'!EXP_CAP-'Base Model'!ModelYear),'Base Model'!EXP_Wacc))</f>
        <v>0.075</v>
      </c>
      <c r="G19" s="154">
        <f>IF('Base Model'!ModelYear&gt;'Base Model'!EXP_CAP,"",IF('Base Model'!ModelYear&gt;$G$6,'Base Model'!Terminal_Wacc-$K$6/('Base Model'!EXP_CAP-$G$6)*('Base Model'!EXP_CAP-'Base Model'!ModelYear),'Base Model'!EXP_Wacc))</f>
        <v>0.0825</v>
      </c>
      <c r="H19" s="154">
        <f>IF('Base Model'!ModelYear&gt;'Base Model'!EXP_CAP,"",IF('Base Model'!ModelYear&gt;$G$6,'Base Model'!Terminal_Wacc-$K$6/('Base Model'!EXP_CAP-$G$6)*('Base Model'!EXP_CAP-'Base Model'!ModelYear),'Base Model'!EXP_Wacc))</f>
        <v>0.09</v>
      </c>
      <c r="I19" s="154">
        <f>IF('Base Model'!ModelYear&gt;'Base Model'!EXP_CAP,"",IF('Base Model'!ModelYear&gt;$G$6,'Base Model'!Terminal_Wacc-$K$6/('Base Model'!EXP_CAP-$G$6)*('Base Model'!EXP_CAP-'Base Model'!ModelYear),'Base Model'!EXP_Wacc))</f>
        <v>0.0975</v>
      </c>
      <c r="J19" s="154" t="str">
        <f>IF('Base Model'!ModelYear&gt;'Base Model'!EXP_CAP,"",IF('Base Model'!ModelYear&gt;$G$6,'Base Model'!Terminal_Wacc-$K$6/('Base Model'!EXP_CAP-$G$6)*('Base Model'!EXP_CAP-'Base Model'!ModelYear),'Base Model'!EXP_Wacc))</f>
        <v/>
      </c>
      <c r="K19" s="154" t="str">
        <f>IF('Base Model'!ModelYear&gt;'Base Model'!EXP_CAP,"",IF('Base Model'!ModelYear&gt;$G$6,'Base Model'!Terminal_Wacc-$K$6/('Base Model'!EXP_CAP-$G$6)*('Base Model'!EXP_CAP-'Base Model'!ModelYear),'Base Model'!EXP_Wacc))</f>
        <v/>
      </c>
      <c r="L19" s="154" t="str">
        <f>IF('Base Model'!ModelYear&gt;'Base Model'!EXP_CAP,"",IF('Base Model'!ModelYear&gt;$G$6,'Base Model'!Terminal_Wacc-$K$6/('Base Model'!EXP_CAP-$G$6)*('Base Model'!EXP_CAP-'Base Model'!ModelYear),'Base Model'!EXP_Wacc))</f>
        <v/>
      </c>
      <c r="M19" s="154" t="str">
        <f>IF('Base Model'!ModelYear&gt;'Base Model'!EXP_CAP,"",IF('Base Model'!ModelYear&gt;$G$6,'Base Model'!Terminal_Wacc-$K$6/('Base Model'!EXP_CAP-$G$6)*('Base Model'!EXP_CAP-'Base Model'!ModelYear),'Base Model'!EXP_Wacc))</f>
        <v/>
      </c>
      <c r="N19" s="154">
        <f>'Base Model'!Terminal_Wacc</f>
        <v>0.0975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64" t="s">
        <v>245</v>
      </c>
      <c r="C20" s="165"/>
      <c r="D20" s="159">
        <f>IF('Base Model'!ModelYear&gt;'Base Model'!EXP_CAP,"",1+D19)</f>
        <v>1.075</v>
      </c>
      <c r="E20" s="159">
        <f>IF('Base Model'!ModelYear&gt;'Base Model'!EXP_CAP,"",(1+D19)*(1+E19))</f>
        <v>1.155625</v>
      </c>
      <c r="F20" s="159">
        <f>IF('Base Model'!ModelYear&gt;'Base Model'!EXP_CAP,"",(1+D19)*(1+E19)*(1+F19))</f>
        <v>1.242296875</v>
      </c>
      <c r="G20" s="159">
        <f>IF('Base Model'!ModelYear&gt;'Base Model'!EXP_CAP,"",(1+D19)*(1+E19)*(1+F19)*(1+G19))</f>
        <v>1.344786367</v>
      </c>
      <c r="H20" s="159">
        <f>IF('Base Model'!ModelYear&gt;'Base Model'!EXP_CAP,"",(1+D19)*(1+E19)*(1+F19)*(1+G19)*(1+H19))</f>
        <v>1.46581714</v>
      </c>
      <c r="I20" s="159">
        <f>IF('Base Model'!ModelYear&gt;'Base Model'!EXP_CAP,"",(1+D19)*(1+E19)*(1+F19)*(1+G19)*(1+H19)*(1+I19))</f>
        <v>1.608734311</v>
      </c>
      <c r="J20" s="159" t="str">
        <f>IF('Base Model'!ModelYear&gt;'Base Model'!EXP_CAP,"",(1+D19)*(1+E19)*(1+F19)*(1+G19)*(1+H19)*(1+I19)*(1+J19))</f>
        <v/>
      </c>
      <c r="K20" s="159" t="str">
        <f>IF('Base Model'!ModelYear&gt;'Base Model'!EXP_CAP,"",(1+D19)*(1+E19)*(1+F19)*(1+G19)*(1+H19)*(1+I19)*(1+J19)*(1+K19))</f>
        <v/>
      </c>
      <c r="L20" s="159" t="str">
        <f>IF('Base Model'!ModelYear&gt;'Base Model'!EXP_CAP,"",(1+D19)*(1+E19)*(1+F19)*(1+G19)*(1+H19)*(1+I19)*(1+J19)*(1+K19)*(1+L19))</f>
        <v/>
      </c>
      <c r="M20" s="159" t="str">
        <f>IF('Base Model'!ModelYear&gt;'Base Model'!EXP_CAP,"",(1+D19)*(1+E19)*(1+F19)*(1+G19)*(1+H19)*(1+I19)*(1+J19)*(1+K19)*(1+L19)*(1+M19))</f>
        <v/>
      </c>
      <c r="N20" s="16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67" t="s">
        <v>246</v>
      </c>
      <c r="C21" s="168"/>
      <c r="D21" s="163">
        <f>IF('Base Model'!ModelYear&gt;'Base Model'!EXP_CAP,"",'Base Model'!Model_FCFF/D20)</f>
        <v>93609.82769</v>
      </c>
      <c r="E21" s="163">
        <f>IF('Base Model'!ModelYear&gt;'Base Model'!EXP_CAP,"",'Base Model'!Model_FCFF/E20)</f>
        <v>95786.80043</v>
      </c>
      <c r="F21" s="163">
        <f>IF('Base Model'!ModelYear&gt;'Base Model'!EXP_CAP,"",'Base Model'!Model_FCFF/F20)</f>
        <v>98014.40044</v>
      </c>
      <c r="G21" s="163">
        <f>IF('Base Model'!ModelYear&gt;'Base Model'!EXP_CAP,"",'Base Model'!Model_FCFF/G20)</f>
        <v>99598.92885</v>
      </c>
      <c r="H21" s="163">
        <f>IF('Base Model'!ModelYear&gt;'Base Model'!EXP_CAP,"",'Base Model'!Model_FCFF/H20)</f>
        <v>100512.6805</v>
      </c>
      <c r="I21" s="163">
        <f>IF('Base Model'!ModelYear&gt;'Base Model'!EXP_CAP,"",'Base Model'!Model_FCFF/I20)</f>
        <v>498939.3588</v>
      </c>
      <c r="J21" s="163" t="str">
        <f>IF('Base Model'!ModelYear&gt;'Base Model'!EXP_CAP,"",'Base Model'!Model_FCFF/J20)</f>
        <v/>
      </c>
      <c r="K21" s="163" t="str">
        <f>IF('Base Model'!ModelYear&gt;'Base Model'!EXP_CAP,"",'Base Model'!Model_FCFF/K20)</f>
        <v/>
      </c>
      <c r="L21" s="163" t="str">
        <f>IF('Base Model'!ModelYear&gt;'Base Model'!EXP_CAP,"",'Base Model'!Model_FCFF/L20)</f>
        <v/>
      </c>
      <c r="M21" s="163" t="str">
        <f>IF('Base Model'!ModelYear&gt;'Base Model'!EXP_CAP,"",'Base Model'!Model_FCFF/M20)</f>
        <v/>
      </c>
      <c r="N21" s="16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02" t="s">
        <v>247</v>
      </c>
      <c r="C23" s="1"/>
      <c r="D23" s="62" t="s">
        <v>248</v>
      </c>
      <c r="E23" s="62" t="s">
        <v>249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69" t="s">
        <v>250</v>
      </c>
      <c r="C24" s="1"/>
      <c r="D24" s="154">
        <f>E24/E27</f>
        <v>0.09900675337</v>
      </c>
      <c r="E24" s="170">
        <f>SUM(D21:M21)</f>
        <v>986461.9967</v>
      </c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9" t="s">
        <v>251</v>
      </c>
      <c r="C25" s="1"/>
      <c r="D25" s="154">
        <f>1-D24</f>
        <v>0.9009932466</v>
      </c>
      <c r="E25" s="170">
        <f>N18/('Base Model'!Terminal_Wacc-'Base Model'!Terminal_EbitGrowth)/IF('Base Model'!EXP_CAP=0,1,INDIRECT(ADDRESS(ROW(B20),'Base Model'!EXP_CAP+2)))</f>
        <v>8355755.922</v>
      </c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69" t="s">
        <v>252</v>
      </c>
      <c r="C26" s="1"/>
      <c r="D26" s="1"/>
      <c r="E26" s="170">
        <f>IF(Data!D69="Yes",Data!D71,Data!D72)+Data!C22</f>
        <v>621365</v>
      </c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2" t="s">
        <v>253</v>
      </c>
      <c r="C27" s="1"/>
      <c r="D27" s="1"/>
      <c r="E27" s="171">
        <f>E24+E25+E26</f>
        <v>9963582.918</v>
      </c>
      <c r="F27" s="17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2" t="s">
        <v>254</v>
      </c>
      <c r="C29" s="1"/>
      <c r="D29" s="1"/>
      <c r="E29" s="170">
        <f>Data!D65</f>
        <v>677586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2" t="s">
        <v>255</v>
      </c>
      <c r="C30" s="1"/>
      <c r="D30" s="1"/>
      <c r="E30" s="173">
        <f>E27-E29</f>
        <v>9285996.918</v>
      </c>
      <c r="F30" s="3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2" t="s">
        <v>256</v>
      </c>
      <c r="C31" s="1"/>
      <c r="D31" s="1"/>
      <c r="E31" s="170">
        <f>Data!F75</f>
        <v>311186</v>
      </c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2" t="s">
        <v>257</v>
      </c>
      <c r="C32" s="1"/>
      <c r="D32" s="1"/>
      <c r="E32" s="170">
        <f>Data!D66</f>
        <v>0</v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2" t="s">
        <v>258</v>
      </c>
      <c r="C33" s="1"/>
      <c r="D33" s="1"/>
      <c r="E33" s="173">
        <f>E30-E31-E32</f>
        <v>8974810.918</v>
      </c>
      <c r="F33" s="35"/>
      <c r="G33" s="174" t="str">
        <f>Dashboard!C12</f>
        <v>HKD</v>
      </c>
      <c r="H33" s="1"/>
      <c r="I33" s="175" t="s">
        <v>259</v>
      </c>
      <c r="J33" s="176">
        <f>F34/((Data!F4*Dashboard!C13)/(Dashboard!C8/Data!F3))</f>
        <v>-56.53424201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2" t="s">
        <v>260</v>
      </c>
      <c r="C34" s="1"/>
      <c r="D34" s="1"/>
      <c r="E34" s="1"/>
      <c r="F34" s="177">
        <f>E33*Data!F3/Cs_Shares*Dashboard!C13</f>
        <v>8.381399182</v>
      </c>
      <c r="G34" s="178" t="str">
        <f>Dashboard!D7</f>
        <v>HKD</v>
      </c>
      <c r="H34" s="1"/>
      <c r="I34" s="175" t="s">
        <v>261</v>
      </c>
      <c r="J34" s="179">
        <f>F34/(IF(Data!C20="",Data!D20,Data!C20)*Data!F3/Cs_Shares)</f>
        <v>2.514587272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02" t="s">
        <v>262</v>
      </c>
      <c r="C36" s="62" t="s">
        <v>263</v>
      </c>
      <c r="D36" s="1"/>
      <c r="E36" s="180" t="str">
        <f>G34</f>
        <v>HKD</v>
      </c>
      <c r="F36" s="98">
        <f>Dashboard!C7</f>
        <v>11.94</v>
      </c>
      <c r="G36" s="62" t="s">
        <v>264</v>
      </c>
      <c r="H36" s="181">
        <f>F36/F34-1</f>
        <v>0.4245831443</v>
      </c>
      <c r="I36" s="62" t="str">
        <f>IF(H36&lt;0,"undervalued","overvalued") &amp; " by the market."</f>
        <v>overvalued by the market.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E31:F31"/>
    <mergeCell ref="E32:F32"/>
    <mergeCell ref="E33:F33"/>
    <mergeCell ref="B2:D2"/>
    <mergeCell ref="E24:F24"/>
    <mergeCell ref="E25:F25"/>
    <mergeCell ref="E26:F26"/>
    <mergeCell ref="E27:F27"/>
    <mergeCell ref="E29:F29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2022-08-10T03:52:42Z</dcterms:created>
  <dc:creator>Jerry.chen</dc:creator>
</cp:coreProperties>
</file>