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Data" sheetId="2" r:id="rId5"/>
    <sheet state="visible" name="Conservative Value" sheetId="3" r:id="rId6"/>
    <sheet state="visible" name="Stress Test" sheetId="4" r:id="rId7"/>
    <sheet state="visible" name="Margin of Safety" sheetId="5" r:id="rId8"/>
    <sheet state="visible" name="Liquidation Value" sheetId="6" r:id="rId9"/>
  </sheets>
  <definedNames>
    <definedName localSheetId="3" name="Model_NOPAT">'Stress Test'!$D$14:$M$14</definedName>
    <definedName localSheetId="2" name="Model_EbitGrowth">'Conservative Value'!$D$11:$M$11</definedName>
    <definedName localSheetId="3" name="ModelYear">'Stress Test'!$D$9:$M$9</definedName>
    <definedName localSheetId="2" name="EXP_Wacc">'Conservative Value'!$C$5</definedName>
    <definedName localSheetId="2" name="Model_FCFF">'Conservative Value'!$D$18:$M$18</definedName>
    <definedName name="MV_NonOpAssets">#REF!</definedName>
    <definedName localSheetId="3" name="Terminal_EbitGrowth">Dashboard!$F$29</definedName>
    <definedName localSheetId="2" name="Terminal_EbitGrowth">Dashboard!$F$29</definedName>
    <definedName localSheetId="2" name="Terminal_Wacc">'Conservative Value'!$K$5</definedName>
    <definedName localSheetId="2" name="ModelYear">'Conservative Value'!$D$9:$M$9</definedName>
    <definedName name="Cs_Shares">Dashboard!$C$8</definedName>
    <definedName localSheetId="3" name="EXP_Wacc">'Stress Test'!$C$5</definedName>
    <definedName localSheetId="3" name="EXP_CAP">'Stress Test'!$G$5</definedName>
    <definedName localSheetId="3" name="Terminal_Wacc">'Stress Test'!$K$5</definedName>
    <definedName localSheetId="3" name="Model_FCFF">'Stress Test'!$D$18:$M$18</definedName>
    <definedName localSheetId="2" name="Model_NOPAT">'Conservative Value'!$D$14:$M$14</definedName>
    <definedName localSheetId="3" name="Model_EbitGrowth">'Stress Test'!$D$11:$M$11</definedName>
    <definedName localSheetId="2" name="EXP_CAP">'Conservative Value'!$G$5</definedName>
  </definedNames>
  <calcPr/>
  <extLst>
    <ext uri="GoogleSheetsCustomDataVersion1">
      <go:sheetsCustomData xmlns:go="http://customooxmlschemas.google.com/" r:id="rId10" roundtripDataSignature="AMtx7mjuSXreysXTeT/88zgFqZ6fFuKHsw=="/>
    </ext>
  </extLst>
</workbook>
</file>

<file path=xl/sharedStrings.xml><?xml version="1.0" encoding="utf-8"?>
<sst xmlns="http://schemas.openxmlformats.org/spreadsheetml/2006/main" count="438" uniqueCount="325">
  <si>
    <t>Company Info:</t>
  </si>
  <si>
    <t>Ticker:</t>
  </si>
  <si>
    <t>2223</t>
  </si>
  <si>
    <t>Ticker Name:</t>
  </si>
  <si>
    <t xml:space="preserve">卡薩天嬌  </t>
  </si>
  <si>
    <t>Valuation Date:</t>
  </si>
  <si>
    <t>Listing Location:</t>
  </si>
  <si>
    <t>HK</t>
  </si>
  <si>
    <t>Current Price:</t>
  </si>
  <si>
    <t>HKD</t>
  </si>
  <si>
    <t>Number of Shares:</t>
  </si>
  <si>
    <t>Discount Rate Assumptions</t>
  </si>
  <si>
    <t>Capitalization:</t>
  </si>
  <si>
    <t>Real Default-free Rate</t>
  </si>
  <si>
    <t>P/E Ratio:</t>
  </si>
  <si>
    <t>Equity Risk Premium</t>
  </si>
  <si>
    <t>P/B Ratio:</t>
  </si>
  <si>
    <t>Discount rate during CAP</t>
  </si>
  <si>
    <t>Reporting Currency:</t>
  </si>
  <si>
    <t>Terminal Value Premium</t>
  </si>
  <si>
    <t>Exchange Rate:</t>
  </si>
  <si>
    <t>Terminal Value Discount rate</t>
  </si>
  <si>
    <t>Valuation Output:</t>
  </si>
  <si>
    <t>Conservative Value</t>
  </si>
  <si>
    <t>Stress Test</t>
  </si>
  <si>
    <t>Expected price per share (EP) =</t>
  </si>
  <si>
    <t>Expected Purchase Price</t>
  </si>
  <si>
    <t>PE/PB</t>
  </si>
  <si>
    <t>IRR given 1.5 yrs holding period</t>
  </si>
  <si>
    <t xml:space="preserve">Margin of Safety = </t>
  </si>
  <si>
    <t>Valuation Assumptions:</t>
  </si>
  <si>
    <t>Business Category</t>
  </si>
  <si>
    <t>Cyclical Industry</t>
  </si>
  <si>
    <t>Cyclical market with high margin</t>
  </si>
  <si>
    <t>Cyclical market with low margin and bad performance</t>
  </si>
  <si>
    <t>Value Drivers</t>
  </si>
  <si>
    <t>Past 5Y</t>
  </si>
  <si>
    <t>Terminal</t>
  </si>
  <si>
    <t>Length of CAP</t>
  </si>
  <si>
    <t>EBIT Growth</t>
  </si>
  <si>
    <t>After-tax ROC</t>
  </si>
  <si>
    <t>After-tax Reinvestment Rate</t>
  </si>
  <si>
    <t>Competitive enviroment analysis to estimate CAP</t>
  </si>
  <si>
    <t>Use the Porter's Five Forces Analysis to estimate the length of CAP</t>
  </si>
  <si>
    <t>To answer the below questions, Each force is ranked by Very High, High, Medium, Low, and Very Low:</t>
  </si>
  <si>
    <t>I. Threat of New Entrants =</t>
  </si>
  <si>
    <t>1. There is no cost advantage associated with the supply-side economics of scale.</t>
  </si>
  <si>
    <t>disagree</t>
  </si>
  <si>
    <t>2. There is no network effect associated with the products/services.</t>
  </si>
  <si>
    <t>Strongly agree</t>
  </si>
  <si>
    <t>3. There is low customer switching cost.</t>
  </si>
  <si>
    <t>4. There are low capital requirements.</t>
  </si>
  <si>
    <t>agree</t>
  </si>
  <si>
    <t xml:space="preserve">5. There is no incumbency advantages independent of size. (like management skill etc) </t>
  </si>
  <si>
    <t>6. There are equal access to distribution channels.</t>
  </si>
  <si>
    <t>7. There is no restrictive government policy.</t>
  </si>
  <si>
    <t>8. There is little "real" brand barriers. (like the trust in brands in food industry)</t>
  </si>
  <si>
    <t>II. Power of Suppliers =</t>
  </si>
  <si>
    <t>1. The supplier is more concentrated than the industry it sells to.</t>
  </si>
  <si>
    <t>2. The supplier group does not depends heavily on the industry for its revenues.</t>
  </si>
  <si>
    <t>unclear</t>
  </si>
  <si>
    <t>3. There is high switching costs in changing suppliers.</t>
  </si>
  <si>
    <t>4. The suppliers offer products that are differentiated.</t>
  </si>
  <si>
    <t>5. There is no substitute for what the supplier group provides.</t>
  </si>
  <si>
    <t>6. The supplier group can credibly threaten to integrate forward into the industry.</t>
  </si>
  <si>
    <t>III. Power of Buyers =</t>
  </si>
  <si>
    <t>1. There are few buyers, or some buyers who purchase in relatively large volumes.</t>
  </si>
  <si>
    <t>2. The products are standardized or undifferentiated.</t>
  </si>
  <si>
    <t>3. The buyers face low switching costs in changing vendors.</t>
  </si>
  <si>
    <t>4. The buyers can credibly threaten to integrate backward.</t>
  </si>
  <si>
    <t>5. The product the buyers purchase are relatively expensive.</t>
  </si>
  <si>
    <t>6.The buyer group earns low income, or is strapped for cash.</t>
  </si>
  <si>
    <t>7. The buyers are little affacted by the industry's product.</t>
  </si>
  <si>
    <t>8. The industry’s product has little effect on the buyer’s other costs.</t>
  </si>
  <si>
    <t>IV. Threat of Substitutions =</t>
  </si>
  <si>
    <t>1. There is an unfavorable gap in the price or performance when compared.</t>
  </si>
  <si>
    <t>Strongly disagree</t>
  </si>
  <si>
    <t>2. The buyer's cost of switching to the substitute is low.</t>
  </si>
  <si>
    <t>3. It's likely the substitutes will become very attractive in three to five years.</t>
  </si>
  <si>
    <t>V. Rivalry among existing Competitors =</t>
  </si>
  <si>
    <t>1. There are numerous competitors or are roughly equal in size and power.</t>
  </si>
  <si>
    <t>2. Industry growth is slow.</t>
  </si>
  <si>
    <t>3. Exit barriers are high.</t>
  </si>
  <si>
    <t>4. Rivals are highly committed to the business and have aspirations for leadership.</t>
  </si>
  <si>
    <t>5. Firms cannot read each other’s signals well.</t>
  </si>
  <si>
    <t>6. Products or services of rivals are nearly identical with few buyer switching costs.</t>
  </si>
  <si>
    <t>7. Fixed costs are high and marginal costs are low.</t>
  </si>
  <si>
    <t>8. Capacity must be expanded in large increments to be efficient.</t>
  </si>
  <si>
    <t>9. The product is perishable.</t>
  </si>
  <si>
    <t>Conclusion: the Industry Competition level is</t>
  </si>
  <si>
    <t>Length of the CAP suggested by the Porter's Five Forces</t>
  </si>
  <si>
    <t>Company statement Inputs</t>
  </si>
  <si>
    <t>Year of the last 10k =</t>
  </si>
  <si>
    <t>Figures in =</t>
  </si>
  <si>
    <t>Past 5 year EBIT CAGR</t>
  </si>
  <si>
    <t>Last Report =</t>
  </si>
  <si>
    <t>FY</t>
  </si>
  <si>
    <t>LTM Net Income:</t>
  </si>
  <si>
    <t>Past 4 year Average ROIC</t>
  </si>
  <si>
    <t>Sales</t>
  </si>
  <si>
    <t>Sales Growth Rate</t>
  </si>
  <si>
    <t>BV EBIT</t>
  </si>
  <si>
    <t>EBIT Margin</t>
  </si>
  <si>
    <t>NOPAT</t>
  </si>
  <si>
    <t>Interest Expense</t>
  </si>
  <si>
    <t>Effective Tax Rate</t>
  </si>
  <si>
    <t>Current Asset</t>
  </si>
  <si>
    <t>Current Liabilities</t>
  </si>
  <si>
    <t>Short Term Interest-bearing Debt</t>
  </si>
  <si>
    <t>Long Term Interest-bearing Debt</t>
  </si>
  <si>
    <t>Interest-bearing Debt</t>
  </si>
  <si>
    <t>Equity</t>
  </si>
  <si>
    <t>BV of Minority interests</t>
  </si>
  <si>
    <t>Cash, Cash Equivalents &amp;STI</t>
  </si>
  <si>
    <t>Non-operating Assets</t>
  </si>
  <si>
    <t>Invested Capital (IC)</t>
  </si>
  <si>
    <t>Net Capex = PP&amp;E Diff.</t>
  </si>
  <si>
    <t>Net Capex/Sales</t>
  </si>
  <si>
    <t>WC</t>
  </si>
  <si>
    <t>WCInv</t>
  </si>
  <si>
    <t>WC/Sales</t>
  </si>
  <si>
    <t>Reinvestment</t>
  </si>
  <si>
    <t>Modified Dupont Analysis</t>
  </si>
  <si>
    <t>NOPAT Margin</t>
  </si>
  <si>
    <t>Capital Turnover Ratio</t>
  </si>
  <si>
    <t>ROIC</t>
  </si>
  <si>
    <t>Financial Leverage &amp; WC</t>
  </si>
  <si>
    <t>Long-term Debt / Equity</t>
  </si>
  <si>
    <t>Total Debt / Equity</t>
  </si>
  <si>
    <t>EBIT / Total Debt</t>
  </si>
  <si>
    <t>Interes Expense / EBIT</t>
  </si>
  <si>
    <t>Current Ratio</t>
  </si>
  <si>
    <t>Data Adjustments</t>
  </si>
  <si>
    <t>1. EBIT Adjustment and Marginal Tax Rate</t>
  </si>
  <si>
    <t>Perpetual EBIT growth rate =</t>
  </si>
  <si>
    <t>Base year EBIT Adj. approach =</t>
  </si>
  <si>
    <t>No Adjustment</t>
  </si>
  <si>
    <t>1. No Adjustment</t>
  </si>
  <si>
    <t>2. Average after-tax ROIC</t>
  </si>
  <si>
    <t>3. Direct Input</t>
  </si>
  <si>
    <t>Marginal Tax Rate</t>
  </si>
  <si>
    <t>2. Market Value of the Debt and Options</t>
  </si>
  <si>
    <t>MV of the Debt</t>
  </si>
  <si>
    <t>// Use BV by default</t>
  </si>
  <si>
    <t>MV of the Options</t>
  </si>
  <si>
    <t>// If avg exercise &gt; current price, then assume 0</t>
  </si>
  <si>
    <t>3. Market Value of Minority Interests</t>
  </si>
  <si>
    <t>Estimated MV of the MI =</t>
  </si>
  <si>
    <t>BV of the MI</t>
  </si>
  <si>
    <t>1. BV of the MI</t>
  </si>
  <si>
    <t>2. P/B Approach</t>
  </si>
  <si>
    <t>4. R&amp;D Adjustment</t>
  </si>
  <si>
    <t>Capitalize R&amp;D expenses?</t>
  </si>
  <si>
    <t>No</t>
  </si>
  <si>
    <t>To amortize R&amp;D expenses in</t>
  </si>
  <si>
    <t>Year</t>
  </si>
  <si>
    <t>R&amp;D Expense</t>
  </si>
  <si>
    <t>Unamortized portion</t>
  </si>
  <si>
    <t>Amortization this year</t>
  </si>
  <si>
    <t>Value of Research Asset =</t>
  </si>
  <si>
    <t>Amortization of Asset for current year =</t>
  </si>
  <si>
    <t>Without capitalizing</t>
  </si>
  <si>
    <t>With capitalizing</t>
  </si>
  <si>
    <t>Industry</t>
  </si>
  <si>
    <t>Amortization Period</t>
  </si>
  <si>
    <t>Operating income</t>
  </si>
  <si>
    <t>Non-technological Service</t>
  </si>
  <si>
    <t>2 years</t>
  </si>
  <si>
    <t>Operating margin</t>
  </si>
  <si>
    <t>Retail, Tech Service</t>
  </si>
  <si>
    <t>3 years</t>
  </si>
  <si>
    <t>Light Manufacturing</t>
  </si>
  <si>
    <t>5 years</t>
  </si>
  <si>
    <t>Net Income</t>
  </si>
  <si>
    <t>Heavy  Manufacturing</t>
  </si>
  <si>
    <t>10 years</t>
  </si>
  <si>
    <t>Invested capital</t>
  </si>
  <si>
    <t>Research, with Patenting</t>
  </si>
  <si>
    <t>After-tax ROIC</t>
  </si>
  <si>
    <t>Long Gestation Period</t>
  </si>
  <si>
    <t>Valuation Output</t>
  </si>
  <si>
    <t>Value Drivers (Scenario Inputs)</t>
  </si>
  <si>
    <t>Bear Case</t>
  </si>
  <si>
    <t>CAP Drivers</t>
  </si>
  <si>
    <t>Stable Growth Drivers</t>
  </si>
  <si>
    <t>Discount Rate =</t>
  </si>
  <si>
    <t>Length of CAP =</t>
  </si>
  <si>
    <t>CAGR of CAP =</t>
  </si>
  <si>
    <t>Adjust discount rate at year</t>
  </si>
  <si>
    <t xml:space="preserve">Discount Rate Spread = </t>
  </si>
  <si>
    <t>Output Summary</t>
  </si>
  <si>
    <t>The FCFF for the high growth phase are shown below (upto 10 years)</t>
  </si>
  <si>
    <t>Terminal Year</t>
  </si>
  <si>
    <t>Invested Capital</t>
  </si>
  <si>
    <t>EBIT growth rate</t>
  </si>
  <si>
    <t>EBIT (Operating income)</t>
  </si>
  <si>
    <t>Tax rate</t>
  </si>
  <si>
    <t>Reinvestment rate</t>
  </si>
  <si>
    <t>FCFF</t>
  </si>
  <si>
    <t>Discount Rate</t>
  </si>
  <si>
    <t>Cumulated Discount factor</t>
  </si>
  <si>
    <t>PV of FCFF</t>
  </si>
  <si>
    <t>FCFF Valuation</t>
  </si>
  <si>
    <t>% Value</t>
  </si>
  <si>
    <t>Values</t>
  </si>
  <si>
    <t>+ PV of FCFF during CAP =</t>
  </si>
  <si>
    <t>+ PV of Terminal Value =</t>
  </si>
  <si>
    <t>Discount %</t>
  </si>
  <si>
    <t>+ Non-Operating Asset</t>
  </si>
  <si>
    <t>+ Cash</t>
  </si>
  <si>
    <t>Value of Firm =</t>
  </si>
  <si>
    <t>- MV of outstanding debt =</t>
  </si>
  <si>
    <t>Value of Equity =</t>
  </si>
  <si>
    <t>- MV of Minority Interests</t>
  </si>
  <si>
    <t>- MV of Options</t>
  </si>
  <si>
    <t>Value of Equity in Common Stock =</t>
  </si>
  <si>
    <t xml:space="preserve">PE = </t>
  </si>
  <si>
    <t>Value of equity per share =</t>
  </si>
  <si>
    <t xml:space="preserve">PB = </t>
  </si>
  <si>
    <t>Valuation Verdict:</t>
  </si>
  <si>
    <t>Given the Current Stock price =</t>
  </si>
  <si>
    <t>,the company is</t>
  </si>
  <si>
    <t>Base Case</t>
  </si>
  <si>
    <t>Market Sentiment Assessment:</t>
  </si>
  <si>
    <t>1. Economy:</t>
  </si>
  <si>
    <t>Cold - Sluggish</t>
  </si>
  <si>
    <t>2. Outlook:</t>
  </si>
  <si>
    <t>Cold - Negative</t>
  </si>
  <si>
    <t>3. Lenders:</t>
  </si>
  <si>
    <t>Cold - Reticent</t>
  </si>
  <si>
    <t>4. Capital markets:</t>
  </si>
  <si>
    <t>Cold - Tight</t>
  </si>
  <si>
    <t>5. Capital:</t>
  </si>
  <si>
    <t>Cold - Scarce</t>
  </si>
  <si>
    <t>6. Terms:</t>
  </si>
  <si>
    <t>Cold - Restrictive</t>
  </si>
  <si>
    <t>7. Interest rates:</t>
  </si>
  <si>
    <t>Mixed</t>
  </si>
  <si>
    <t>8. Yield Spreads:</t>
  </si>
  <si>
    <t>Cold - Wide</t>
  </si>
  <si>
    <t>9. Investors:</t>
  </si>
  <si>
    <t>Cold - Pessimistic</t>
  </si>
  <si>
    <t>10. Asset owners:</t>
  </si>
  <si>
    <t>Cold - Rushing for the exits</t>
  </si>
  <si>
    <t>11. Sellers:</t>
  </si>
  <si>
    <t>Cold - Many</t>
  </si>
  <si>
    <t>12. Markets:</t>
  </si>
  <si>
    <t>Cold - Starved for attention</t>
  </si>
  <si>
    <t>13. Funds:</t>
  </si>
  <si>
    <t>Cold - Only the best can raise money</t>
  </si>
  <si>
    <t>14. Recent performance:</t>
  </si>
  <si>
    <t>Cold - Weak</t>
  </si>
  <si>
    <t>15. Asset prices:</t>
  </si>
  <si>
    <t>Cold - Low</t>
  </si>
  <si>
    <t>16. Popular qualities:</t>
  </si>
  <si>
    <t>Cold - Caution and discipline</t>
  </si>
  <si>
    <t>Estimated Market Sentiment:</t>
  </si>
  <si>
    <t>Margin of Safety Recommendation</t>
  </si>
  <si>
    <t>PART I: Valuation Error &amp; Volatility</t>
  </si>
  <si>
    <r>
      <rPr>
        <rFont val="Arial"/>
        <color theme="1"/>
        <sz val="10.0"/>
      </rPr>
      <t xml:space="preserve">1. </t>
    </r>
    <r>
      <rPr>
        <rFont val="Arial"/>
        <b/>
        <color theme="1"/>
        <sz val="10.0"/>
      </rPr>
      <t>Business Risk:</t>
    </r>
    <r>
      <rPr>
        <rFont val="Arial"/>
        <color theme="1"/>
        <sz val="10.0"/>
      </rPr>
      <t xml:space="preserve"> Is the business simple and understandable (including transparent disclosure)?</t>
    </r>
  </si>
  <si>
    <r>
      <rPr>
        <rFont val="Arial"/>
        <color theme="1"/>
        <sz val="10.0"/>
      </rPr>
      <t xml:space="preserve">2. </t>
    </r>
    <r>
      <rPr>
        <rFont val="Arial"/>
        <b/>
        <color theme="1"/>
        <sz val="10.0"/>
      </rPr>
      <t>Credit Risk:</t>
    </r>
    <r>
      <rPr>
        <rFont val="Arial"/>
        <color theme="1"/>
        <sz val="10.0"/>
      </rPr>
      <t xml:space="preserve"> Does the company have low financial leverage and interest-bearing debt?</t>
    </r>
  </si>
  <si>
    <r>
      <rPr>
        <rFont val="Arial"/>
        <color theme="1"/>
        <sz val="10.0"/>
      </rPr>
      <t xml:space="preserve">3. </t>
    </r>
    <r>
      <rPr>
        <rFont val="Arial"/>
        <b/>
        <color theme="1"/>
        <sz val="10.0"/>
      </rPr>
      <t>Operational risk:</t>
    </r>
    <r>
      <rPr>
        <rFont val="Arial"/>
        <color theme="1"/>
        <sz val="10.0"/>
      </rPr>
      <t xml:space="preserve"> Does the company have few no frequency &amp; high serverity operational risk?</t>
    </r>
  </si>
  <si>
    <r>
      <rPr>
        <rFont val="Arial"/>
        <color theme="1"/>
        <sz val="10.0"/>
      </rPr>
      <t xml:space="preserve">4. </t>
    </r>
    <r>
      <rPr>
        <rFont val="Arial"/>
        <b/>
        <color theme="1"/>
        <sz val="10.0"/>
      </rPr>
      <t>Rerating risk:</t>
    </r>
    <r>
      <rPr>
        <rFont val="Arial"/>
        <color theme="1"/>
        <sz val="10.0"/>
      </rPr>
      <t xml:space="preserve"> Does the company have a clear </t>
    </r>
    <r>
      <rPr>
        <rFont val="Arial"/>
        <color theme="1"/>
        <sz val="10.0"/>
        <u/>
      </rPr>
      <t>price rerating catalyst</t>
    </r>
    <r>
      <rPr>
        <rFont val="Arial"/>
        <color theme="1"/>
        <sz val="10.0"/>
      </rPr>
      <t>?</t>
    </r>
  </si>
  <si>
    <r>
      <rPr>
        <rFont val="Arial"/>
        <color theme="1"/>
        <sz val="10.0"/>
      </rPr>
      <t xml:space="preserve">5. </t>
    </r>
    <r>
      <rPr>
        <rFont val="Arial"/>
        <b/>
        <color theme="1"/>
        <sz val="10.0"/>
      </rPr>
      <t>Market risk:</t>
    </r>
    <r>
      <rPr>
        <rFont val="Arial"/>
        <color theme="1"/>
        <sz val="10.0"/>
      </rPr>
      <t xml:space="preserve"> Is the market sentiment optimistic?</t>
    </r>
  </si>
  <si>
    <t>Margin of Safty (Range: 10%-100%) is estimated to be</t>
  </si>
  <si>
    <t>PART II: Quality Score</t>
  </si>
  <si>
    <t>a. Business Tenets:</t>
  </si>
  <si>
    <t>1. Does the company have a consistent operating and earning history?</t>
  </si>
  <si>
    <t>2. Does the company have sustainable competitive advantages?</t>
  </si>
  <si>
    <t>3. Does the company have lots of reinvestment opportunities within their moats?</t>
  </si>
  <si>
    <t>4. Does the company have low amount of operating leverage?</t>
  </si>
  <si>
    <t>5. Does the company have a good opeartional risk management history?</t>
  </si>
  <si>
    <t>b. Financial Tenets:</t>
  </si>
  <si>
    <t>1. Are the profit margins attractive (better than industry)?</t>
  </si>
  <si>
    <t xml:space="preserve">2. Can current operations be maintained without too much need to spend? </t>
  </si>
  <si>
    <t>3. Can cash be reinvested at attractive compound rates?</t>
  </si>
  <si>
    <t>4. Is the company's balance sheet strong?</t>
  </si>
  <si>
    <t>5. Does the company have low working capital requirements and fast cash conversion cycle?</t>
  </si>
  <si>
    <t>c. Market Tenets:</t>
  </si>
  <si>
    <t xml:space="preserve">1. Is the company free to adjust prices to inflation? </t>
  </si>
  <si>
    <t>2. Is the company enjoying limited competition?</t>
  </si>
  <si>
    <t>3. Is the company operating in a good industry (structurally more profitable, not driven primarily by price, etc)?</t>
  </si>
  <si>
    <t>4. Is the company less susceptible to econmoic cycle?</t>
  </si>
  <si>
    <t>5. Does the company have a positive ESG value?</t>
  </si>
  <si>
    <t>d. Management Tenets:</t>
  </si>
  <si>
    <t>1. Is the company operated by Owner Operator who is the most knowledgeble and passionate about business?</t>
  </si>
  <si>
    <t>2. Are managers clear and consistent in their communications and actions with stakeholders?</t>
  </si>
  <si>
    <t>3. Has management resisted the temptation to grow quickly by merger?</t>
  </si>
  <si>
    <t>4. Have the managers been buying the stock? Has the company resist buying back stock opportunistically?</t>
  </si>
  <si>
    <t>5. Are managers positively motivated to benefit all stakeholders?</t>
  </si>
  <si>
    <t>the Quality Score estimated to be</t>
  </si>
  <si>
    <t xml:space="preserve">The margin of Safety Recomended is </t>
  </si>
  <si>
    <t>Liquidation Value Outputs</t>
  </si>
  <si>
    <t>Net Work per books =</t>
  </si>
  <si>
    <t>Net Work as Ajusted to Quickly Realizable Values =</t>
  </si>
  <si>
    <t>Adj. Value per Shares</t>
  </si>
  <si>
    <t>Liquidation Value Inputs</t>
  </si>
  <si>
    <t>Total Assets =</t>
  </si>
  <si>
    <t>Total Liabilities =</t>
  </si>
  <si>
    <t>Assets</t>
  </si>
  <si>
    <t>Book Figure</t>
  </si>
  <si>
    <t>Valued @</t>
  </si>
  <si>
    <t>Ajusted Valuation</t>
  </si>
  <si>
    <t>Liabilities</t>
  </si>
  <si>
    <t>ST Investments</t>
  </si>
  <si>
    <t>Tax AP</t>
  </si>
  <si>
    <t>AR</t>
  </si>
  <si>
    <t>AP</t>
  </si>
  <si>
    <t>Tax receivable</t>
  </si>
  <si>
    <t>Bank Loan</t>
  </si>
  <si>
    <t>Inventory</t>
  </si>
  <si>
    <t>ST Lease liabilities</t>
  </si>
  <si>
    <t>Cash and cash equivalents</t>
  </si>
  <si>
    <t>Accrued bonus</t>
  </si>
  <si>
    <t>PP&amp;E</t>
  </si>
  <si>
    <t>Borrowing</t>
  </si>
  <si>
    <t>Right-of-use assets</t>
  </si>
  <si>
    <t>LT Lease liabilities</t>
  </si>
  <si>
    <t>Investment property</t>
  </si>
  <si>
    <t>Deferred tax liabilities</t>
  </si>
  <si>
    <t>Intangible assets</t>
  </si>
  <si>
    <t>Investments in JV</t>
  </si>
  <si>
    <t>Deferred tax assets</t>
  </si>
  <si>
    <t>LT Investments</t>
  </si>
  <si>
    <t>Other assets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</si>
</sst>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\-mm\-dd"/>
    <numFmt numFmtId="165" formatCode="#,##0&quot;mm&quot;"/>
    <numFmt numFmtId="166" formatCode="#,##0.00&quot;x&quot;"/>
    <numFmt numFmtId="167" formatCode="0\ &quot;Years&quot;"/>
    <numFmt numFmtId="168" formatCode="0.00\x"/>
  </numFmts>
  <fonts count="30">
    <font>
      <sz val="10.0"/>
      <color rgb="FF000000"/>
      <name val="Arial"/>
      <scheme val="minor"/>
    </font>
    <font>
      <sz val="10.0"/>
      <color rgb="FF000000"/>
      <name val="Arial"/>
    </font>
    <font>
      <b/>
      <sz val="10.0"/>
      <color rgb="FFFFFFFF"/>
      <name val="Arial"/>
    </font>
    <font>
      <b/>
      <sz val="10.0"/>
      <color theme="1"/>
      <name val="Arial"/>
    </font>
    <font/>
    <font>
      <sz val="10.0"/>
      <color rgb="FFFFFFFF"/>
      <name val="Arial"/>
    </font>
    <font>
      <sz val="10.0"/>
      <color rgb="FF0000FF"/>
      <name val="Arial"/>
    </font>
    <font>
      <sz val="10.0"/>
      <color theme="1"/>
      <name val="Arial"/>
    </font>
    <font>
      <sz val="10.0"/>
      <color theme="0"/>
      <name val="Arial"/>
    </font>
    <font>
      <sz val="10.0"/>
      <color rgb="FFA61C00"/>
      <name val="Arial"/>
    </font>
    <font>
      <i/>
      <sz val="10.0"/>
      <color rgb="FF0000FF"/>
      <name val="Arial"/>
    </font>
    <font>
      <i/>
      <sz val="10.0"/>
      <color rgb="FFFFFFFF"/>
      <name val="Arial"/>
    </font>
    <font>
      <i/>
      <sz val="10.0"/>
      <color theme="1"/>
      <name val="Arial"/>
    </font>
    <font>
      <i/>
      <sz val="10.0"/>
      <color rgb="FF000000"/>
      <name val="Arial"/>
    </font>
    <font>
      <sz val="10.0"/>
      <color rgb="FFCC4125"/>
      <name val="Arial"/>
    </font>
    <font>
      <color theme="1"/>
      <name val="Arial"/>
    </font>
    <font>
      <sz val="10.0"/>
      <color theme="0"/>
      <name val="Helvetica Neue"/>
    </font>
    <font>
      <sz val="10.0"/>
      <color theme="1"/>
      <name val="Helvetica Neue"/>
    </font>
    <font>
      <sz val="9.0"/>
      <color theme="0"/>
      <name val="Arial"/>
    </font>
    <font>
      <i/>
      <u/>
      <sz val="9.0"/>
      <color theme="1"/>
      <name val="Calibri"/>
    </font>
    <font>
      <sz val="9.0"/>
      <color theme="1"/>
      <name val="Arial"/>
    </font>
    <font>
      <sz val="9.0"/>
      <color theme="1"/>
      <name val="Calibri"/>
    </font>
    <font>
      <u/>
      <sz val="10.0"/>
      <color theme="1"/>
      <name val="Arial"/>
    </font>
    <font>
      <i/>
      <u/>
      <sz val="10.0"/>
      <color theme="1"/>
      <name val="Arial"/>
    </font>
    <font>
      <i/>
      <sz val="9.0"/>
      <color rgb="FFFFFFFF"/>
      <name val="Arial"/>
    </font>
    <font>
      <b/>
      <sz val="10.0"/>
      <color rgb="FF000000"/>
      <name val="Arial"/>
    </font>
    <font>
      <u/>
      <sz val="10.0"/>
      <color theme="1"/>
      <name val="Arial"/>
    </font>
    <font>
      <b/>
      <i/>
      <u/>
      <sz val="10.0"/>
      <color theme="1"/>
      <name val="Arial"/>
    </font>
    <font>
      <b/>
      <i/>
      <sz val="10.0"/>
      <color theme="1"/>
      <name val="Arial"/>
    </font>
    <font>
      <b/>
      <sz val="10.0"/>
      <color rgb="FF000000"/>
      <name val="Roboto"/>
    </font>
  </fonts>
  <fills count="14">
    <fill>
      <patternFill patternType="none"/>
    </fill>
    <fill>
      <patternFill patternType="lightGray"/>
    </fill>
    <fill>
      <patternFill patternType="solid">
        <fgColor rgb="FFCC4125"/>
        <bgColor rgb="FFCC4125"/>
      </patternFill>
    </fill>
    <fill>
      <patternFill patternType="solid">
        <fgColor rgb="FFB6D7A8"/>
        <bgColor rgb="FFB6D7A8"/>
      </patternFill>
    </fill>
    <fill>
      <patternFill patternType="solid">
        <fgColor rgb="FF3C78D8"/>
        <bgColor rgb="FF3C78D8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  <fill>
      <patternFill patternType="solid">
        <fgColor rgb="FFFDE49A"/>
        <bgColor rgb="FFFDE49A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1C4587"/>
        <bgColor rgb="FF1C4587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</fills>
  <borders count="39">
    <border/>
    <border>
      <left/>
      <right/>
      <top/>
      <bottom/>
    </border>
    <border>
      <left/>
      <top/>
      <bottom/>
    </border>
    <border>
      <top/>
      <bottom/>
    </border>
    <border>
      <left style="thin">
        <color rgb="FF000000"/>
      </left>
      <right/>
      <top style="thin">
        <color rgb="FF000000"/>
      </top>
      <bottom/>
    </border>
    <border>
      <left/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/>
      <top/>
      <bottom style="double">
        <color rgb="FF000000"/>
      </bottom>
    </border>
    <border>
      <top style="double">
        <color rgb="FF000000"/>
      </top>
      <bottom style="thin">
        <color rgb="FF000000"/>
      </bottom>
    </border>
    <border>
      <left/>
      <right/>
      <top style="double">
        <color rgb="FF000000"/>
      </top>
      <bottom style="thin">
        <color rgb="FF000000"/>
      </bottom>
    </border>
    <border>
      <bottom style="double">
        <color rgb="FF000000"/>
      </bottom>
    </border>
    <border>
      <top/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2" fillId="3" fontId="3" numFmtId="0" xfId="0" applyAlignment="1" applyBorder="1" applyFill="1" applyFont="1">
      <alignment horizontal="center"/>
    </xf>
    <xf borderId="3" fillId="0" fontId="4" numFmtId="0" xfId="0" applyBorder="1" applyFont="1"/>
    <xf borderId="4" fillId="4" fontId="5" numFmtId="0" xfId="0" applyBorder="1" applyFill="1" applyFont="1"/>
    <xf borderId="5" fillId="5" fontId="6" numFmtId="49" xfId="0" applyAlignment="1" applyBorder="1" applyFill="1" applyFont="1" applyNumberFormat="1">
      <alignment horizontal="center" readingOrder="0"/>
    </xf>
    <xf borderId="6" fillId="0" fontId="4" numFmtId="0" xfId="0" applyBorder="1" applyFont="1"/>
    <xf borderId="7" fillId="4" fontId="5" numFmtId="0" xfId="0" applyBorder="1" applyFont="1"/>
    <xf borderId="2" fillId="5" fontId="6" numFmtId="0" xfId="0" applyAlignment="1" applyBorder="1" applyFont="1">
      <alignment horizontal="center" readingOrder="0"/>
    </xf>
    <xf borderId="8" fillId="0" fontId="4" numFmtId="0" xfId="0" applyBorder="1" applyFont="1"/>
    <xf borderId="9" fillId="4" fontId="5" numFmtId="0" xfId="0" applyBorder="1" applyFont="1"/>
    <xf borderId="10" fillId="5" fontId="6" numFmtId="164" xfId="0" applyAlignment="1" applyBorder="1" applyFont="1" applyNumberFormat="1">
      <alignment horizontal="center" readingOrder="0"/>
    </xf>
    <xf borderId="11" fillId="0" fontId="4" numFmtId="0" xfId="0" applyBorder="1" applyFont="1"/>
    <xf borderId="5" fillId="5" fontId="6" numFmtId="0" xfId="0" applyAlignment="1" applyBorder="1" applyFont="1">
      <alignment horizontal="center"/>
    </xf>
    <xf borderId="1" fillId="6" fontId="6" numFmtId="4" xfId="0" applyAlignment="1" applyBorder="1" applyFill="1" applyFont="1" applyNumberFormat="1">
      <alignment horizontal="right" readingOrder="0"/>
    </xf>
    <xf borderId="12" fillId="3" fontId="7" numFmtId="0" xfId="0" applyAlignment="1" applyBorder="1" applyFont="1">
      <alignment horizontal="center"/>
    </xf>
    <xf borderId="2" fillId="5" fontId="6" numFmtId="3" xfId="0" applyAlignment="1" applyBorder="1" applyFont="1" applyNumberFormat="1">
      <alignment horizontal="center" readingOrder="0"/>
    </xf>
    <xf borderId="1" fillId="2" fontId="8" numFmtId="0" xfId="0" applyBorder="1" applyFont="1"/>
    <xf borderId="2" fillId="3" fontId="1" numFmtId="165" xfId="0" applyAlignment="1" applyBorder="1" applyFont="1" applyNumberFormat="1">
      <alignment horizontal="center"/>
    </xf>
    <xf borderId="1" fillId="4" fontId="5" numFmtId="0" xfId="0" applyBorder="1" applyFont="1"/>
    <xf borderId="1" fillId="4" fontId="8" numFmtId="0" xfId="0" applyBorder="1" applyFont="1"/>
    <xf borderId="13" fillId="7" fontId="7" numFmtId="10" xfId="0" applyAlignment="1" applyBorder="1" applyFill="1" applyFont="1" applyNumberFormat="1">
      <alignment horizontal="center"/>
    </xf>
    <xf borderId="14" fillId="0" fontId="7" numFmtId="4" xfId="0" applyAlignment="1" applyBorder="1" applyFont="1" applyNumberFormat="1">
      <alignment horizontal="center"/>
    </xf>
    <xf borderId="15" fillId="0" fontId="4" numFmtId="0" xfId="0" applyBorder="1" applyFont="1"/>
    <xf borderId="16" fillId="0" fontId="7" numFmtId="4" xfId="0" applyAlignment="1" applyBorder="1" applyFont="1" applyNumberFormat="1">
      <alignment horizontal="center"/>
    </xf>
    <xf borderId="17" fillId="0" fontId="4" numFmtId="0" xfId="0" applyBorder="1" applyFont="1"/>
    <xf borderId="13" fillId="3" fontId="7" numFmtId="10" xfId="0" applyAlignment="1" applyBorder="1" applyFont="1" applyNumberFormat="1">
      <alignment horizontal="center"/>
    </xf>
    <xf borderId="0" fillId="0" fontId="9" numFmtId="0" xfId="0" applyFont="1"/>
    <xf borderId="18" fillId="8" fontId="7" numFmtId="0" xfId="0" applyAlignment="1" applyBorder="1" applyFill="1" applyFont="1">
      <alignment horizontal="right"/>
    </xf>
    <xf borderId="19" fillId="3" fontId="7" numFmtId="0" xfId="0" applyAlignment="1" applyBorder="1" applyFont="1">
      <alignment horizontal="center"/>
    </xf>
    <xf borderId="1" fillId="9" fontId="7" numFmtId="0" xfId="0" applyBorder="1" applyFill="1" applyFont="1"/>
    <xf borderId="20" fillId="2" fontId="5" numFmtId="0" xfId="0" applyAlignment="1" applyBorder="1" applyFont="1">
      <alignment horizontal="center"/>
    </xf>
    <xf borderId="21" fillId="0" fontId="4" numFmtId="0" xfId="0" applyBorder="1" applyFont="1"/>
    <xf borderId="1" fillId="4" fontId="5" numFmtId="0" xfId="0" applyAlignment="1" applyBorder="1" applyFont="1">
      <alignment horizontal="left"/>
    </xf>
    <xf borderId="20" fillId="3" fontId="7" numFmtId="2" xfId="0" applyAlignment="1" applyBorder="1" applyFont="1" applyNumberFormat="1">
      <alignment horizontal="center"/>
    </xf>
    <xf borderId="20" fillId="5" fontId="10" numFmtId="4" xfId="0" applyAlignment="1" applyBorder="1" applyFont="1" applyNumberFormat="1">
      <alignment horizontal="center" readingOrder="0"/>
    </xf>
    <xf borderId="22" fillId="0" fontId="4" numFmtId="0" xfId="0" applyBorder="1" applyFont="1"/>
    <xf borderId="1" fillId="4" fontId="11" numFmtId="0" xfId="0" applyAlignment="1" applyBorder="1" applyFont="1">
      <alignment horizontal="right"/>
    </xf>
    <xf borderId="20" fillId="0" fontId="12" numFmtId="4" xfId="0" applyAlignment="1" applyBorder="1" applyFont="1" applyNumberFormat="1">
      <alignment horizontal="center"/>
    </xf>
    <xf borderId="22" fillId="0" fontId="12" numFmtId="4" xfId="0" applyAlignment="1" applyBorder="1" applyFont="1" applyNumberFormat="1">
      <alignment horizontal="center"/>
    </xf>
    <xf borderId="20" fillId="3" fontId="13" numFmtId="10" xfId="0" applyAlignment="1" applyBorder="1" applyFont="1" applyNumberFormat="1">
      <alignment horizontal="center"/>
    </xf>
    <xf borderId="0" fillId="0" fontId="12" numFmtId="0" xfId="0" applyFont="1"/>
    <xf borderId="1" fillId="2" fontId="7" numFmtId="0" xfId="0" applyBorder="1" applyFont="1"/>
    <xf borderId="13" fillId="5" fontId="1" numFmtId="0" xfId="0" applyAlignment="1" applyBorder="1" applyFont="1">
      <alignment horizontal="center" vertical="center"/>
    </xf>
    <xf borderId="20" fillId="5" fontId="6" numFmtId="0" xfId="0" applyAlignment="1" applyBorder="1" applyFont="1">
      <alignment horizontal="center" vertical="center"/>
    </xf>
    <xf borderId="13" fillId="5" fontId="1" numFmtId="0" xfId="0" applyAlignment="1" applyBorder="1" applyFont="1">
      <alignment horizontal="center"/>
    </xf>
    <xf borderId="20" fillId="5" fontId="6" numFmtId="0" xfId="0" applyAlignment="1" applyBorder="1" applyFont="1">
      <alignment horizontal="left"/>
    </xf>
    <xf borderId="9" fillId="2" fontId="11" numFmtId="0" xfId="0" applyAlignment="1" applyBorder="1" applyFont="1">
      <alignment horizontal="center" vertical="center"/>
    </xf>
    <xf borderId="23" fillId="2" fontId="5" numFmtId="0" xfId="0" applyAlignment="1" applyBorder="1" applyFont="1">
      <alignment horizontal="center" vertical="center"/>
    </xf>
    <xf borderId="24" fillId="2" fontId="5" numFmtId="0" xfId="0" applyAlignment="1" applyBorder="1" applyFont="1">
      <alignment horizontal="center" shrinkToFit="0" vertical="center" wrapText="1"/>
    </xf>
    <xf borderId="13" fillId="2" fontId="5" numFmtId="0" xfId="0" applyAlignment="1" applyBorder="1" applyFont="1">
      <alignment horizontal="center" vertical="center"/>
    </xf>
    <xf borderId="25" fillId="2" fontId="5" numFmtId="0" xfId="0" applyAlignment="1" applyBorder="1" applyFont="1">
      <alignment horizontal="center" vertical="center"/>
    </xf>
    <xf borderId="0" fillId="0" fontId="7" numFmtId="0" xfId="0" applyAlignment="1" applyFont="1">
      <alignment horizontal="center"/>
    </xf>
    <xf borderId="20" fillId="0" fontId="7" numFmtId="0" xfId="0" applyAlignment="1" applyBorder="1" applyFont="1">
      <alignment horizontal="center" vertical="center"/>
    </xf>
    <xf borderId="26" fillId="0" fontId="4" numFmtId="0" xfId="0" applyBorder="1" applyFont="1"/>
    <xf borderId="5" fillId="6" fontId="1" numFmtId="0" xfId="0" applyAlignment="1" applyBorder="1" applyFont="1">
      <alignment horizontal="center" vertical="center"/>
    </xf>
    <xf borderId="27" fillId="0" fontId="4" numFmtId="0" xfId="0" applyBorder="1" applyFont="1"/>
    <xf borderId="13" fillId="0" fontId="3" numFmtId="0" xfId="0" applyAlignment="1" applyBorder="1" applyFont="1">
      <alignment horizontal="center" vertical="center"/>
    </xf>
    <xf borderId="28" fillId="3" fontId="7" numFmtId="10" xfId="0" applyAlignment="1" applyBorder="1" applyFont="1" applyNumberFormat="1">
      <alignment horizontal="center" vertical="center"/>
    </xf>
    <xf borderId="29" fillId="3" fontId="1" numFmtId="10" xfId="0" applyAlignment="1" applyBorder="1" applyFont="1" applyNumberFormat="1">
      <alignment horizontal="center" vertical="center"/>
    </xf>
    <xf borderId="13" fillId="3" fontId="1" numFmtId="10" xfId="0" applyAlignment="1" applyBorder="1" applyFont="1" applyNumberFormat="1">
      <alignment horizontal="center" vertical="center"/>
    </xf>
    <xf borderId="13" fillId="3" fontId="7" numFmtId="10" xfId="0" applyAlignment="1" applyBorder="1" applyFont="1" applyNumberFormat="1">
      <alignment horizontal="center" vertical="center"/>
    </xf>
    <xf borderId="29" fillId="3" fontId="7" numFmtId="10" xfId="0" applyAlignment="1" applyBorder="1" applyFont="1" applyNumberFormat="1">
      <alignment horizontal="center" vertical="center"/>
    </xf>
    <xf borderId="0" fillId="0" fontId="7" numFmtId="0" xfId="0" applyFont="1"/>
    <xf borderId="0" fillId="0" fontId="5" numFmtId="10" xfId="0" applyFont="1" applyNumberFormat="1"/>
    <xf borderId="2" fillId="3" fontId="7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2" fillId="5" fontId="6" numFmtId="0" xfId="0" applyAlignment="1" applyBorder="1" applyFont="1">
      <alignment horizontal="center"/>
    </xf>
    <xf borderId="0" fillId="0" fontId="5" numFmtId="0" xfId="0" applyFont="1"/>
    <xf borderId="0" fillId="0" fontId="8" numFmtId="10" xfId="0" applyFont="1" applyNumberFormat="1"/>
    <xf borderId="0" fillId="0" fontId="7" numFmtId="10" xfId="0" applyFont="1" applyNumberFormat="1"/>
    <xf borderId="2" fillId="10" fontId="7" numFmtId="0" xfId="0" applyAlignment="1" applyBorder="1" applyFill="1" applyFont="1">
      <alignment horizontal="center"/>
    </xf>
    <xf borderId="1" fillId="9" fontId="3" numFmtId="0" xfId="0" applyBorder="1" applyFont="1"/>
    <xf borderId="0" fillId="0" fontId="2" numFmtId="0" xfId="0" applyFont="1"/>
    <xf borderId="1" fillId="11" fontId="2" numFmtId="0" xfId="0" applyBorder="1" applyFill="1" applyFont="1"/>
    <xf borderId="1" fillId="11" fontId="5" numFmtId="0" xfId="0" applyBorder="1" applyFont="1"/>
    <xf borderId="13" fillId="5" fontId="6" numFmtId="0" xfId="0" applyAlignment="1" applyBorder="1" applyFont="1">
      <alignment horizontal="center"/>
    </xf>
    <xf borderId="13" fillId="5" fontId="6" numFmtId="3" xfId="0" applyAlignment="1" applyBorder="1" applyFont="1" applyNumberFormat="1">
      <alignment horizontal="center"/>
    </xf>
    <xf borderId="13" fillId="3" fontId="1" numFmtId="10" xfId="0" applyAlignment="1" applyBorder="1" applyFont="1" applyNumberFormat="1">
      <alignment horizontal="center"/>
    </xf>
    <xf borderId="13" fillId="5" fontId="6" numFmtId="3" xfId="0" applyAlignment="1" applyBorder="1" applyFont="1" applyNumberFormat="1">
      <alignment horizontal="center" readingOrder="0"/>
    </xf>
    <xf borderId="13" fillId="0" fontId="7" numFmtId="0" xfId="0" applyAlignment="1" applyBorder="1" applyFont="1">
      <alignment shrinkToFit="0" wrapText="1"/>
    </xf>
    <xf borderId="13" fillId="11" fontId="8" numFmtId="0" xfId="0" applyAlignment="1" applyBorder="1" applyFont="1">
      <alignment horizontal="center"/>
    </xf>
    <xf borderId="13" fillId="11" fontId="5" numFmtId="0" xfId="0" applyAlignment="1" applyBorder="1" applyFont="1">
      <alignment horizontal="center" shrinkToFit="0" wrapText="1"/>
    </xf>
    <xf borderId="13" fillId="9" fontId="7" numFmtId="10" xfId="0" applyAlignment="1" applyBorder="1" applyFont="1" applyNumberFormat="1">
      <alignment horizontal="center"/>
    </xf>
    <xf borderId="13" fillId="3" fontId="7" numFmtId="3" xfId="0" applyAlignment="1" applyBorder="1" applyFont="1" applyNumberFormat="1">
      <alignment horizontal="center"/>
    </xf>
    <xf borderId="13" fillId="5" fontId="6" numFmtId="10" xfId="0" applyAlignment="1" applyBorder="1" applyFont="1" applyNumberFormat="1">
      <alignment horizontal="center" readingOrder="0"/>
    </xf>
    <xf borderId="13" fillId="5" fontId="6" numFmtId="10" xfId="0" applyAlignment="1" applyBorder="1" applyFont="1" applyNumberFormat="1">
      <alignment horizontal="center"/>
    </xf>
    <xf borderId="30" fillId="12" fontId="7" numFmtId="0" xfId="0" applyAlignment="1" applyBorder="1" applyFill="1" applyFont="1">
      <alignment horizontal="center"/>
    </xf>
    <xf borderId="13" fillId="0" fontId="7" numFmtId="10" xfId="0" applyAlignment="1" applyBorder="1" applyFont="1" applyNumberFormat="1">
      <alignment horizontal="center"/>
    </xf>
    <xf borderId="0" fillId="0" fontId="3" numFmtId="0" xfId="0" applyAlignment="1" applyFont="1">
      <alignment horizontal="center"/>
    </xf>
    <xf borderId="13" fillId="3" fontId="7" numFmtId="4" xfId="0" applyAlignment="1" applyBorder="1" applyFont="1" applyNumberFormat="1">
      <alignment horizontal="center"/>
    </xf>
    <xf borderId="13" fillId="9" fontId="7" numFmtId="0" xfId="0" applyAlignment="1" applyBorder="1" applyFont="1">
      <alignment horizontal="center"/>
    </xf>
    <xf borderId="13" fillId="3" fontId="7" numFmtId="166" xfId="0" applyAlignment="1" applyBorder="1" applyFont="1" applyNumberFormat="1">
      <alignment horizontal="center"/>
    </xf>
    <xf borderId="1" fillId="2" fontId="5" numFmtId="0" xfId="0" applyBorder="1" applyFont="1"/>
    <xf borderId="1" fillId="10" fontId="7" numFmtId="0" xfId="0" applyBorder="1" applyFont="1"/>
    <xf borderId="20" fillId="7" fontId="7" numFmtId="10" xfId="0" applyAlignment="1" applyBorder="1" applyFont="1" applyNumberFormat="1">
      <alignment horizontal="center"/>
    </xf>
    <xf borderId="20" fillId="5" fontId="6" numFmtId="0" xfId="0" applyAlignment="1" applyBorder="1" applyFont="1">
      <alignment horizontal="center"/>
    </xf>
    <xf borderId="0" fillId="0" fontId="7" numFmtId="10" xfId="0" applyAlignment="1" applyFont="1" applyNumberFormat="1">
      <alignment horizontal="center"/>
    </xf>
    <xf borderId="2" fillId="9" fontId="7" numFmtId="0" xfId="0" applyBorder="1" applyFont="1"/>
    <xf borderId="20" fillId="3" fontId="7" numFmtId="3" xfId="0" applyAlignment="1" applyBorder="1" applyFont="1" applyNumberFormat="1">
      <alignment horizontal="center"/>
    </xf>
    <xf borderId="0" fillId="0" fontId="14" numFmtId="0" xfId="0" applyFont="1"/>
    <xf borderId="20" fillId="5" fontId="6" numFmtId="3" xfId="0" applyAlignment="1" applyBorder="1" applyFont="1" applyNumberFormat="1">
      <alignment horizontal="center"/>
    </xf>
    <xf borderId="20" fillId="5" fontId="6" numFmtId="10" xfId="0" applyAlignment="1" applyBorder="1" applyFont="1" applyNumberFormat="1">
      <alignment horizontal="center"/>
    </xf>
    <xf borderId="20" fillId="5" fontId="7" numFmtId="3" xfId="0" applyAlignment="1" applyBorder="1" applyFont="1" applyNumberFormat="1">
      <alignment horizontal="center"/>
    </xf>
    <xf borderId="1" fillId="10" fontId="1" numFmtId="0" xfId="0" applyAlignment="1" applyBorder="1" applyFont="1">
      <alignment horizontal="left"/>
    </xf>
    <xf borderId="1" fillId="9" fontId="5" numFmtId="3" xfId="0" applyAlignment="1" applyBorder="1" applyFont="1" applyNumberFormat="1">
      <alignment horizontal="center"/>
    </xf>
    <xf borderId="0" fillId="5" fontId="7" numFmtId="167" xfId="0" applyAlignment="1" applyFont="1" applyNumberFormat="1">
      <alignment horizontal="center"/>
    </xf>
    <xf borderId="0" fillId="0" fontId="15" numFmtId="0" xfId="0" applyFont="1"/>
    <xf borderId="0" fillId="2" fontId="16" numFmtId="2" xfId="0" applyAlignment="1" applyFont="1" applyNumberFormat="1">
      <alignment horizontal="center"/>
    </xf>
    <xf borderId="0" fillId="2" fontId="16" numFmtId="2" xfId="0" applyFont="1" applyNumberFormat="1"/>
    <xf borderId="0" fillId="3" fontId="7" numFmtId="2" xfId="0" applyAlignment="1" applyFont="1" applyNumberFormat="1">
      <alignment horizontal="center"/>
    </xf>
    <xf borderId="0" fillId="5" fontId="6" numFmtId="1" xfId="0" applyAlignment="1" applyFont="1" applyNumberFormat="1">
      <alignment horizontal="center"/>
    </xf>
    <xf borderId="0" fillId="3" fontId="7" numFmtId="1" xfId="0" applyAlignment="1" applyFont="1" applyNumberFormat="1">
      <alignment horizontal="center"/>
    </xf>
    <xf borderId="0" fillId="3" fontId="7" numFmtId="1" xfId="0" applyAlignment="1" applyFont="1" applyNumberFormat="1">
      <alignment horizontal="right"/>
    </xf>
    <xf borderId="0" fillId="0" fontId="17" numFmtId="0" xfId="0" applyFont="1"/>
    <xf borderId="0" fillId="2" fontId="18" numFmtId="0" xfId="0" applyFont="1"/>
    <xf borderId="0" fillId="2" fontId="18" numFmtId="0" xfId="0" applyAlignment="1" applyFont="1">
      <alignment horizontal="center"/>
    </xf>
    <xf borderId="0" fillId="0" fontId="19" numFmtId="0" xfId="0" applyFont="1"/>
    <xf borderId="0" fillId="0" fontId="20" numFmtId="0" xfId="0" applyFont="1"/>
    <xf borderId="0" fillId="3" fontId="7" numFmtId="3" xfId="0" applyAlignment="1" applyFont="1" applyNumberFormat="1">
      <alignment horizontal="center"/>
    </xf>
    <xf borderId="0" fillId="0" fontId="21" numFmtId="0" xfId="0" applyFont="1"/>
    <xf borderId="0" fillId="3" fontId="7" numFmtId="10" xfId="0" applyAlignment="1" applyFont="1" applyNumberFormat="1">
      <alignment horizontal="center"/>
    </xf>
    <xf borderId="0" fillId="0" fontId="7" numFmtId="3" xfId="0" applyAlignment="1" applyFont="1" applyNumberFormat="1">
      <alignment horizontal="center"/>
    </xf>
    <xf borderId="2" fillId="2" fontId="5" numFmtId="0" xfId="0" applyBorder="1" applyFont="1"/>
    <xf borderId="1" fillId="3" fontId="22" numFmtId="0" xfId="0" applyAlignment="1" applyBorder="1" applyFont="1">
      <alignment horizontal="center"/>
    </xf>
    <xf borderId="0" fillId="0" fontId="23" numFmtId="0" xfId="0" applyFont="1"/>
    <xf borderId="13" fillId="3" fontId="7" numFmtId="0" xfId="0" applyAlignment="1" applyBorder="1" applyFont="1">
      <alignment horizontal="center"/>
    </xf>
    <xf borderId="13" fillId="0" fontId="1" numFmtId="10" xfId="0" applyAlignment="1" applyBorder="1" applyFont="1" applyNumberFormat="1">
      <alignment horizontal="center"/>
    </xf>
    <xf borderId="13" fillId="0" fontId="7" numFmtId="0" xfId="0" applyAlignment="1" applyBorder="1" applyFont="1">
      <alignment horizontal="center"/>
    </xf>
    <xf borderId="30" fillId="2" fontId="24" numFmtId="0" xfId="0" applyBorder="1" applyFont="1"/>
    <xf borderId="30" fillId="2" fontId="5" numFmtId="0" xfId="0" applyAlignment="1" applyBorder="1" applyFont="1">
      <alignment horizontal="center"/>
    </xf>
    <xf borderId="0" fillId="0" fontId="12" numFmtId="0" xfId="0" applyAlignment="1" applyFont="1">
      <alignment horizontal="right"/>
    </xf>
    <xf borderId="1" fillId="3" fontId="7" numFmtId="4" xfId="0" applyAlignment="1" applyBorder="1" applyFont="1" applyNumberFormat="1">
      <alignment horizontal="center"/>
    </xf>
    <xf borderId="18" fillId="3" fontId="7" numFmtId="4" xfId="0" applyAlignment="1" applyBorder="1" applyFont="1" applyNumberFormat="1">
      <alignment horizontal="center"/>
    </xf>
    <xf borderId="14" fillId="0" fontId="7" numFmtId="0" xfId="0" applyAlignment="1" applyBorder="1" applyFont="1">
      <alignment horizontal="right"/>
    </xf>
    <xf borderId="14" fillId="0" fontId="7" numFmtId="0" xfId="0" applyAlignment="1" applyBorder="1" applyFont="1">
      <alignment horizontal="center"/>
    </xf>
    <xf borderId="1" fillId="8" fontId="7" numFmtId="10" xfId="0" applyAlignment="1" applyBorder="1" applyFont="1" applyNumberFormat="1">
      <alignment horizontal="center" readingOrder="0"/>
    </xf>
    <xf borderId="1" fillId="8" fontId="7" numFmtId="10" xfId="0" applyAlignment="1" applyBorder="1" applyFont="1" applyNumberFormat="1">
      <alignment horizontal="center"/>
    </xf>
    <xf borderId="31" fillId="8" fontId="7" numFmtId="10" xfId="0" applyAlignment="1" applyBorder="1" applyFont="1" applyNumberFormat="1">
      <alignment horizontal="center"/>
    </xf>
    <xf borderId="31" fillId="3" fontId="7" numFmtId="10" xfId="0" applyAlignment="1" applyBorder="1" applyFont="1" applyNumberFormat="1">
      <alignment horizontal="center"/>
    </xf>
    <xf borderId="1" fillId="3" fontId="7" numFmtId="3" xfId="0" applyAlignment="1" applyBorder="1" applyFont="1" applyNumberFormat="1">
      <alignment horizontal="center"/>
    </xf>
    <xf borderId="1" fillId="3" fontId="7" numFmtId="10" xfId="0" applyAlignment="1" applyBorder="1" applyFont="1" applyNumberFormat="1">
      <alignment horizontal="center"/>
    </xf>
    <xf borderId="18" fillId="5" fontId="6" numFmtId="10" xfId="0" applyAlignment="1" applyBorder="1" applyFont="1" applyNumberFormat="1">
      <alignment horizontal="center" readingOrder="0"/>
    </xf>
    <xf borderId="18" fillId="5" fontId="6" numFmtId="10" xfId="0" applyAlignment="1" applyBorder="1" applyFont="1" applyNumberFormat="1">
      <alignment horizontal="center"/>
    </xf>
    <xf borderId="1" fillId="5" fontId="6" numFmtId="10" xfId="0" applyAlignment="1" applyBorder="1" applyFont="1" applyNumberFormat="1">
      <alignment horizontal="center"/>
    </xf>
    <xf borderId="14" fillId="0" fontId="7" numFmtId="0" xfId="0" applyBorder="1" applyFont="1"/>
    <xf borderId="31" fillId="3" fontId="7" numFmtId="3" xfId="0" applyAlignment="1" applyBorder="1" applyFont="1" applyNumberFormat="1">
      <alignment horizontal="center"/>
    </xf>
    <xf borderId="0" fillId="0" fontId="7" numFmtId="0" xfId="0" applyAlignment="1" applyFont="1">
      <alignment horizontal="right"/>
    </xf>
    <xf borderId="1" fillId="5" fontId="6" numFmtId="10" xfId="0" applyAlignment="1" applyBorder="1" applyFont="1" applyNumberFormat="1">
      <alignment horizontal="center" readingOrder="0"/>
    </xf>
    <xf borderId="32" fillId="3" fontId="7" numFmtId="10" xfId="0" applyAlignment="1" applyBorder="1" applyFont="1" applyNumberFormat="1">
      <alignment horizontal="center"/>
    </xf>
    <xf borderId="0" fillId="0" fontId="7" numFmtId="0" xfId="0" applyAlignment="1" applyFont="1">
      <alignment horizontal="left"/>
    </xf>
    <xf borderId="33" fillId="0" fontId="7" numFmtId="0" xfId="0" applyBorder="1" applyFont="1"/>
    <xf borderId="33" fillId="0" fontId="7" numFmtId="3" xfId="0" applyAlignment="1" applyBorder="1" applyFont="1" applyNumberFormat="1">
      <alignment horizontal="center"/>
    </xf>
    <xf borderId="34" fillId="3" fontId="7" numFmtId="3" xfId="0" applyAlignment="1" applyBorder="1" applyFont="1" applyNumberFormat="1">
      <alignment horizontal="center"/>
    </xf>
    <xf borderId="18" fillId="3" fontId="7" numFmtId="3" xfId="0" applyAlignment="1" applyBorder="1" applyFont="1" applyNumberFormat="1">
      <alignment horizontal="center"/>
    </xf>
    <xf borderId="35" fillId="0" fontId="12" numFmtId="0" xfId="0" applyAlignment="1" applyBorder="1" applyFont="1">
      <alignment horizontal="right"/>
    </xf>
    <xf borderId="35" fillId="0" fontId="7" numFmtId="0" xfId="0" applyAlignment="1" applyBorder="1" applyFont="1">
      <alignment horizontal="center"/>
    </xf>
    <xf borderId="1" fillId="9" fontId="7" numFmtId="0" xfId="0" applyAlignment="1" applyBorder="1" applyFont="1">
      <alignment horizontal="center"/>
    </xf>
    <xf borderId="16" fillId="0" fontId="7" numFmtId="0" xfId="0" applyBorder="1" applyFont="1"/>
    <xf borderId="16" fillId="0" fontId="7" numFmtId="0" xfId="0" applyAlignment="1" applyBorder="1" applyFont="1">
      <alignment horizontal="center"/>
    </xf>
    <xf quotePrefix="1" borderId="0" fillId="0" fontId="7" numFmtId="0" xfId="0" applyFont="1"/>
    <xf borderId="2" fillId="3" fontId="7" numFmtId="3" xfId="0" applyAlignment="1" applyBorder="1" applyFont="1" applyNumberFormat="1">
      <alignment horizontal="center"/>
    </xf>
    <xf borderId="2" fillId="7" fontId="7" numFmtId="3" xfId="0" applyAlignment="1" applyBorder="1" applyFont="1" applyNumberFormat="1">
      <alignment horizontal="center"/>
    </xf>
    <xf borderId="10" fillId="3" fontId="7" numFmtId="3" xfId="0" applyAlignment="1" applyBorder="1" applyFont="1" applyNumberFormat="1">
      <alignment horizontal="center"/>
    </xf>
    <xf borderId="36" fillId="0" fontId="4" numFmtId="0" xfId="0" applyBorder="1" applyFont="1"/>
    <xf borderId="37" fillId="3" fontId="7" numFmtId="3" xfId="0" applyAlignment="1" applyBorder="1" applyFont="1" applyNumberFormat="1">
      <alignment horizontal="center"/>
    </xf>
    <xf borderId="31" fillId="3" fontId="7" numFmtId="0" xfId="0" applyAlignment="1" applyBorder="1" applyFont="1">
      <alignment horizontal="center"/>
    </xf>
    <xf borderId="0" fillId="0" fontId="25" numFmtId="0" xfId="0" applyFont="1"/>
    <xf borderId="31" fillId="3" fontId="7" numFmtId="168" xfId="0" applyAlignment="1" applyBorder="1" applyFont="1" applyNumberFormat="1">
      <alignment horizontal="center"/>
    </xf>
    <xf borderId="38" fillId="10" fontId="3" numFmtId="2" xfId="0" applyAlignment="1" applyBorder="1" applyFont="1" applyNumberFormat="1">
      <alignment horizontal="center"/>
    </xf>
    <xf borderId="38" fillId="3" fontId="7" numFmtId="0" xfId="0" applyAlignment="1" applyBorder="1" applyFont="1">
      <alignment horizontal="center"/>
    </xf>
    <xf borderId="38" fillId="3" fontId="7" numFmtId="168" xfId="0" applyAlignment="1" applyBorder="1" applyFont="1" applyNumberFormat="1">
      <alignment horizontal="center"/>
    </xf>
    <xf borderId="13" fillId="10" fontId="26" numFmtId="10" xfId="0" applyAlignment="1" applyBorder="1" applyFont="1" applyNumberFormat="1">
      <alignment horizontal="center"/>
    </xf>
    <xf borderId="31" fillId="8" fontId="7" numFmtId="10" xfId="0" applyAlignment="1" applyBorder="1" applyFont="1" applyNumberFormat="1">
      <alignment horizontal="center" readingOrder="0"/>
    </xf>
    <xf borderId="0" fillId="0" fontId="5" numFmtId="0" xfId="0" applyAlignment="1" applyFont="1">
      <alignment horizontal="right"/>
    </xf>
    <xf borderId="0" fillId="0" fontId="3" numFmtId="0" xfId="0" applyFont="1"/>
    <xf borderId="0" fillId="0" fontId="27" numFmtId="0" xfId="0" applyFont="1"/>
    <xf borderId="2" fillId="5" fontId="7" numFmtId="0" xfId="0" applyAlignment="1" applyBorder="1" applyFont="1">
      <alignment horizontal="center"/>
    </xf>
    <xf borderId="0" fillId="0" fontId="28" numFmtId="0" xfId="0" applyFont="1"/>
    <xf borderId="2" fillId="3" fontId="1" numFmtId="10" xfId="0" applyAlignment="1" applyBorder="1" applyFont="1" applyNumberFormat="1">
      <alignment horizontal="center"/>
    </xf>
    <xf borderId="2" fillId="3" fontId="7" numFmtId="10" xfId="0" applyAlignment="1" applyBorder="1" applyFont="1" applyNumberFormat="1">
      <alignment horizontal="center"/>
    </xf>
    <xf borderId="1" fillId="9" fontId="29" numFmtId="0" xfId="0" applyBorder="1" applyFont="1"/>
    <xf borderId="0" fillId="0" fontId="5" numFmtId="10" xfId="0" applyAlignment="1" applyFont="1" applyNumberFormat="1">
      <alignment horizontal="right"/>
    </xf>
    <xf borderId="2" fillId="10" fontId="7" numFmtId="10" xfId="0" applyAlignment="1" applyBorder="1" applyFont="1" applyNumberFormat="1">
      <alignment horizontal="center"/>
    </xf>
    <xf borderId="0" fillId="3" fontId="15" numFmtId="3" xfId="0" applyFont="1" applyNumberFormat="1"/>
    <xf borderId="0" fillId="3" fontId="15" numFmtId="4" xfId="0" applyFont="1" applyNumberFormat="1"/>
    <xf borderId="0" fillId="13" fontId="15" numFmtId="0" xfId="0" applyFill="1" applyFont="1"/>
    <xf borderId="0" fillId="0" fontId="15" numFmtId="0" xfId="0" applyAlignment="1" applyFont="1">
      <alignment horizontal="center"/>
    </xf>
    <xf borderId="0" fillId="0" fontId="15" numFmtId="3" xfId="0" applyAlignment="1" applyFont="1" applyNumberFormat="1">
      <alignment readingOrder="0"/>
    </xf>
    <xf borderId="0" fillId="5" fontId="15" numFmtId="10" xfId="0" applyAlignment="1" applyFont="1" applyNumberFormat="1">
      <alignment horizontal="center" readingOrder="0"/>
    </xf>
    <xf borderId="0" fillId="3" fontId="15" numFmtId="3" xfId="0" applyAlignment="1" applyFont="1" applyNumberFormat="1">
      <alignment horizontal="center"/>
    </xf>
    <xf borderId="0" fillId="0" fontId="15" numFmtId="0" xfId="0" applyAlignment="1" applyFont="1">
      <alignment readingOrder="0"/>
    </xf>
    <xf borderId="0" fillId="5" fontId="15" numFmtId="10" xfId="0" applyAlignment="1" applyFont="1" applyNumberForma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>
        <color theme="0"/>
      </font>
      <fill>
        <patternFill patternType="solid">
          <fgColor theme="0"/>
          <bgColor theme="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2" max="2" width="28.25"/>
    <col customWidth="1" min="3" max="7" width="13.88"/>
    <col customWidth="1" min="9" max="9" width="40.13"/>
  </cols>
  <sheetData>
    <row r="1" ht="15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B2" s="2" t="s">
        <v>0</v>
      </c>
      <c r="C2" s="3" t="str">
        <f>C3&amp;" : "&amp;C4</f>
        <v>2223 : 卡薩天嬌  </v>
      </c>
      <c r="D2" s="4"/>
    </row>
    <row r="3" ht="15.75" customHeight="1">
      <c r="B3" s="5" t="s">
        <v>1</v>
      </c>
      <c r="C3" s="6" t="s">
        <v>2</v>
      </c>
      <c r="D3" s="7"/>
    </row>
    <row r="4" ht="15.75" customHeight="1">
      <c r="B4" s="8" t="s">
        <v>3</v>
      </c>
      <c r="C4" s="9" t="s">
        <v>4</v>
      </c>
      <c r="D4" s="10"/>
    </row>
    <row r="5" ht="15.75" customHeight="1">
      <c r="B5" s="11" t="s">
        <v>5</v>
      </c>
      <c r="C5" s="12">
        <v>44806.0</v>
      </c>
      <c r="D5" s="13"/>
    </row>
    <row r="6" ht="15.75" customHeight="1">
      <c r="B6" s="5" t="s">
        <v>6</v>
      </c>
      <c r="C6" s="14" t="s">
        <v>7</v>
      </c>
      <c r="D6" s="7"/>
    </row>
    <row r="7" ht="15.75" customHeight="1">
      <c r="B7" s="8" t="s">
        <v>8</v>
      </c>
      <c r="C7" s="15">
        <v>0.395</v>
      </c>
      <c r="D7" s="16" t="s">
        <v>9</v>
      </c>
    </row>
    <row r="8" ht="15.75" customHeight="1">
      <c r="B8" s="8" t="s">
        <v>10</v>
      </c>
      <c r="C8" s="17">
        <v>2.57854E8</v>
      </c>
      <c r="D8" s="10"/>
      <c r="E8" s="18" t="s">
        <v>11</v>
      </c>
      <c r="F8" s="18"/>
    </row>
    <row r="9" ht="15.75" customHeight="1">
      <c r="B9" s="8" t="s">
        <v>12</v>
      </c>
      <c r="C9" s="19">
        <f>C7*C8/1000000</f>
        <v>101.85233</v>
      </c>
      <c r="D9" s="10"/>
      <c r="E9" s="20" t="s">
        <v>13</v>
      </c>
      <c r="F9" s="21"/>
      <c r="G9" s="22">
        <v>0.035</v>
      </c>
    </row>
    <row r="10" ht="15.75" customHeight="1">
      <c r="B10" s="5" t="s">
        <v>14</v>
      </c>
      <c r="C10" s="23">
        <f>IF(Data!F4&lt;=0,"NA",C7/((Data!F4*C13)/(C8/Data!F3)))</f>
        <v>8.533204591</v>
      </c>
      <c r="D10" s="24"/>
      <c r="E10" s="20" t="s">
        <v>15</v>
      </c>
      <c r="F10" s="21"/>
      <c r="G10" s="22">
        <v>0.04</v>
      </c>
    </row>
    <row r="11" ht="15.75" customHeight="1">
      <c r="B11" s="11" t="s">
        <v>16</v>
      </c>
      <c r="C11" s="25">
        <f>C7/(IF(Data!C20="",Data!D20,Data!C20)*Data!F3/Cs_Shares)</f>
        <v>0.2516624662</v>
      </c>
      <c r="D11" s="26"/>
      <c r="E11" s="21" t="s">
        <v>17</v>
      </c>
      <c r="F11" s="21"/>
      <c r="G11" s="27">
        <f>G9+G10</f>
        <v>0.075</v>
      </c>
    </row>
    <row r="12" ht="15.75" customHeight="1">
      <c r="B12" s="5" t="s">
        <v>18</v>
      </c>
      <c r="C12" s="14" t="s">
        <v>9</v>
      </c>
      <c r="D12" s="7"/>
      <c r="E12" s="20" t="s">
        <v>19</v>
      </c>
      <c r="F12" s="21"/>
      <c r="G12" s="22">
        <v>0.0675</v>
      </c>
      <c r="H12" s="28" t="str">
        <f>IF(G11&gt;6%,"","Be careful with the long-term debt cycle")</f>
        <v/>
      </c>
    </row>
    <row r="13" ht="15.75" customHeight="1">
      <c r="B13" s="11" t="s">
        <v>20</v>
      </c>
      <c r="C13" s="29">
        <v>1.0</v>
      </c>
      <c r="D13" s="30" t="str">
        <f>IF(C12=Dashboard!D7,"NA",C12&amp;Dashboard!D7)</f>
        <v>NA</v>
      </c>
      <c r="E13" s="20" t="s">
        <v>21</v>
      </c>
      <c r="F13" s="21"/>
      <c r="G13" s="27">
        <f>G9+G12</f>
        <v>0.1025</v>
      </c>
      <c r="H13" s="28" t="str">
        <f>IF(G13&gt;8%,"","Be careful with the long-term debt cycle")</f>
        <v/>
      </c>
    </row>
    <row r="14" ht="15.75" customHeight="1">
      <c r="E14" s="31"/>
    </row>
    <row r="15" ht="15.75" customHeight="1">
      <c r="B15" s="2" t="s">
        <v>22</v>
      </c>
      <c r="C15" s="32" t="s">
        <v>23</v>
      </c>
      <c r="D15" s="33"/>
      <c r="E15" s="32" t="s">
        <v>24</v>
      </c>
      <c r="F15" s="33"/>
    </row>
    <row r="16" ht="15.75" customHeight="1">
      <c r="B16" s="34" t="s">
        <v>25</v>
      </c>
      <c r="C16" s="35">
        <f>'Conservative Value'!F35</f>
        <v>0.8931625092</v>
      </c>
      <c r="D16" s="33"/>
      <c r="E16" s="35">
        <f>'Stress Test'!F35</f>
        <v>0.583002287</v>
      </c>
      <c r="F16" s="33"/>
    </row>
    <row r="17" ht="15.75" customHeight="1">
      <c r="B17" s="34" t="s">
        <v>26</v>
      </c>
      <c r="C17" s="36">
        <v>0.35</v>
      </c>
      <c r="D17" s="37"/>
      <c r="E17" s="37"/>
      <c r="F17" s="33"/>
    </row>
    <row r="18" ht="15.75" customHeight="1">
      <c r="A18" s="1"/>
      <c r="B18" s="38" t="s">
        <v>27</v>
      </c>
      <c r="C18" s="39">
        <f>IF(Data!F4&lt;=0,"NA",C17/((Data!F4*C13)/(C8/Data!F3)))</f>
        <v>7.561067359</v>
      </c>
      <c r="D18" s="37"/>
      <c r="E18" s="40">
        <f>C17/(IF(Data!C20="",Data!D20,Data!C20)*Data!F3/Cs_Shares)</f>
        <v>0.2229920587</v>
      </c>
      <c r="F18" s="3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B19" s="34" t="s">
        <v>28</v>
      </c>
      <c r="C19" s="41">
        <f>(C16/$C17)^(1/1.5)-1</f>
        <v>0.867418372</v>
      </c>
      <c r="D19" s="33"/>
      <c r="E19" s="41">
        <f>(E16/$C17)^(1/1.5)-1</f>
        <v>0.4051892199</v>
      </c>
      <c r="F19" s="33"/>
      <c r="G19" s="42"/>
      <c r="H19" s="42"/>
    </row>
    <row r="20" ht="15.75" customHeight="1">
      <c r="B20" s="34" t="s">
        <v>29</v>
      </c>
      <c r="C20" s="41">
        <f>'Margin of Safety'!E55</f>
        <v>0.4375</v>
      </c>
      <c r="D20" s="37"/>
      <c r="E20" s="37"/>
      <c r="F20" s="33"/>
    </row>
    <row r="21" ht="15.75" customHeight="1"/>
    <row r="22" ht="15.75" customHeight="1">
      <c r="B22" s="2" t="s">
        <v>30</v>
      </c>
      <c r="C22" s="43"/>
    </row>
    <row r="23" ht="27.75" customHeight="1">
      <c r="B23" s="44" t="s">
        <v>31</v>
      </c>
      <c r="C23" s="45" t="s">
        <v>32</v>
      </c>
      <c r="D23" s="37"/>
      <c r="E23" s="37"/>
      <c r="F23" s="37"/>
      <c r="G23" s="37"/>
      <c r="H23" s="37"/>
      <c r="I23" s="33"/>
    </row>
    <row r="24" ht="15.75" customHeight="1">
      <c r="B24" s="46" t="s">
        <v>23</v>
      </c>
      <c r="C24" s="47" t="s">
        <v>33</v>
      </c>
      <c r="D24" s="37"/>
      <c r="E24" s="37"/>
      <c r="F24" s="37"/>
      <c r="G24" s="37"/>
      <c r="H24" s="37"/>
      <c r="I24" s="33"/>
    </row>
    <row r="25" ht="15.75" customHeight="1">
      <c r="B25" s="46" t="s">
        <v>24</v>
      </c>
      <c r="C25" s="47" t="s">
        <v>34</v>
      </c>
      <c r="D25" s="37"/>
      <c r="E25" s="37"/>
      <c r="F25" s="37"/>
      <c r="G25" s="37"/>
      <c r="H25" s="37"/>
      <c r="I25" s="33"/>
    </row>
    <row r="26" ht="15.75" customHeight="1">
      <c r="F26" s="31"/>
    </row>
    <row r="27" ht="30.0" customHeight="1">
      <c r="B27" s="48" t="s">
        <v>35</v>
      </c>
      <c r="C27" s="49" t="s">
        <v>36</v>
      </c>
      <c r="D27" s="50" t="s">
        <v>23</v>
      </c>
      <c r="E27" s="51" t="s">
        <v>24</v>
      </c>
      <c r="F27" s="52" t="s">
        <v>37</v>
      </c>
      <c r="H27" s="53"/>
      <c r="I27" s="53"/>
    </row>
    <row r="28" ht="30.0" customHeight="1">
      <c r="B28" s="54" t="s">
        <v>38</v>
      </c>
      <c r="C28" s="55"/>
      <c r="D28" s="56">
        <f>H81</f>
        <v>4</v>
      </c>
      <c r="E28" s="7"/>
      <c r="F28" s="57"/>
      <c r="H28" s="53"/>
      <c r="I28" s="53"/>
    </row>
    <row r="29" ht="30.0" customHeight="1">
      <c r="B29" s="58" t="s">
        <v>39</v>
      </c>
      <c r="C29" s="59">
        <f>Data!J3</f>
        <v>-0.149072177</v>
      </c>
      <c r="D29" s="60">
        <f>'Conservative Value'!C6</f>
        <v>0</v>
      </c>
      <c r="E29" s="61">
        <f>'Stress Test'!C6</f>
        <v>-0.08708616892</v>
      </c>
      <c r="F29" s="62">
        <f>G9</f>
        <v>0.035</v>
      </c>
      <c r="H29" s="53"/>
      <c r="I29" s="53"/>
    </row>
    <row r="30" ht="30.0" customHeight="1">
      <c r="B30" s="58" t="s">
        <v>40</v>
      </c>
      <c r="C30" s="62">
        <f>AVERAGE(Data!C35:F35)</f>
        <v>0.06019689971</v>
      </c>
      <c r="D30" s="63">
        <f>AVERAGE('Conservative Value'!D15:M15)</f>
        <v>0.03884674953</v>
      </c>
      <c r="E30" s="62">
        <f>AVERAGE('Stress Test'!D15:M15)</f>
        <v>0.02780804972</v>
      </c>
      <c r="F30" s="62">
        <f>G13</f>
        <v>0.1025</v>
      </c>
      <c r="H30" s="53"/>
      <c r="I30" s="53"/>
    </row>
    <row r="31" ht="30.0" customHeight="1">
      <c r="B31" s="58" t="s">
        <v>41</v>
      </c>
      <c r="C31" s="62">
        <f>AVERAGE(Data!C31:F31)</f>
        <v>1.159764604</v>
      </c>
      <c r="D31" s="63">
        <f>AVERAGE('Conservative Value'!D16:M16)</f>
        <v>0.08536585366</v>
      </c>
      <c r="E31" s="62">
        <f>AVERAGE('Stress Test'!D16:M16)</f>
        <v>1.335365854</v>
      </c>
      <c r="F31" s="62">
        <f>F29/F30</f>
        <v>0.3414634146</v>
      </c>
      <c r="H31" s="53"/>
      <c r="I31" s="53"/>
    </row>
    <row r="32" ht="15.75" customHeight="1"/>
    <row r="33" ht="15.75" customHeight="1">
      <c r="B33" s="2" t="s">
        <v>42</v>
      </c>
      <c r="C33" s="2"/>
      <c r="D33" s="2"/>
    </row>
    <row r="34" ht="15.75" customHeight="1">
      <c r="B34" s="64" t="s">
        <v>43</v>
      </c>
      <c r="D34" s="53"/>
    </row>
    <row r="35" ht="15.75" customHeight="1">
      <c r="B35" s="64" t="s">
        <v>44</v>
      </c>
      <c r="D35" s="53"/>
    </row>
    <row r="36" ht="15.75" customHeight="1">
      <c r="B36" s="64" t="s">
        <v>45</v>
      </c>
      <c r="E36" s="53"/>
      <c r="G36" s="65">
        <f>SUM(G37:G44)/(8*4)</f>
        <v>0.71875</v>
      </c>
      <c r="H36" s="66" t="str">
        <f>IF(G36&gt;80%,"Very High",IF(G36&lt;=20%,"Very Low",IF(G36&lt;=40%,"Low",IF(G36&lt;=60%,"Medium","High"))))</f>
        <v>High</v>
      </c>
      <c r="I36" s="4"/>
    </row>
    <row r="37" ht="15.75" customHeight="1">
      <c r="B37" s="64" t="s">
        <v>46</v>
      </c>
      <c r="E37" s="53"/>
      <c r="G37" s="67">
        <f t="shared" ref="G37:G44" si="1">IF(H37="Strongly disagree",0,IF(H37="disagree",1,IF(H37="unclear",2,IF(H37="agree",3,4))))</f>
        <v>1</v>
      </c>
      <c r="H37" s="9" t="s">
        <v>47</v>
      </c>
      <c r="I37" s="4"/>
    </row>
    <row r="38" ht="15.75" customHeight="1">
      <c r="B38" s="64" t="s">
        <v>48</v>
      </c>
      <c r="E38" s="53"/>
      <c r="G38" s="67">
        <f t="shared" si="1"/>
        <v>4</v>
      </c>
      <c r="H38" s="9" t="s">
        <v>49</v>
      </c>
      <c r="I38" s="4"/>
    </row>
    <row r="39" ht="15.75" customHeight="1">
      <c r="B39" s="64" t="s">
        <v>50</v>
      </c>
      <c r="E39" s="53"/>
      <c r="G39" s="67">
        <f t="shared" si="1"/>
        <v>4</v>
      </c>
      <c r="H39" s="68" t="s">
        <v>49</v>
      </c>
      <c r="I39" s="4"/>
    </row>
    <row r="40" ht="15.75" customHeight="1">
      <c r="B40" s="64" t="s">
        <v>51</v>
      </c>
      <c r="E40" s="53"/>
      <c r="G40" s="67">
        <f t="shared" si="1"/>
        <v>3</v>
      </c>
      <c r="H40" s="9" t="s">
        <v>52</v>
      </c>
      <c r="I40" s="4"/>
    </row>
    <row r="41" ht="15.75" customHeight="1">
      <c r="B41" s="64" t="s">
        <v>53</v>
      </c>
      <c r="E41" s="53"/>
      <c r="G41" s="67">
        <f t="shared" si="1"/>
        <v>1</v>
      </c>
      <c r="H41" s="9" t="s">
        <v>47</v>
      </c>
      <c r="I41" s="4"/>
    </row>
    <row r="42" ht="15.75" customHeight="1">
      <c r="B42" s="64" t="s">
        <v>54</v>
      </c>
      <c r="E42" s="53"/>
      <c r="G42" s="67">
        <f t="shared" si="1"/>
        <v>3</v>
      </c>
      <c r="H42" s="9" t="s">
        <v>52</v>
      </c>
      <c r="I42" s="4"/>
    </row>
    <row r="43" ht="15.75" customHeight="1">
      <c r="B43" s="64" t="s">
        <v>55</v>
      </c>
      <c r="E43" s="53"/>
      <c r="G43" s="67">
        <f t="shared" si="1"/>
        <v>4</v>
      </c>
      <c r="H43" s="9" t="s">
        <v>49</v>
      </c>
      <c r="I43" s="4"/>
    </row>
    <row r="44" ht="15.75" customHeight="1">
      <c r="B44" s="64" t="s">
        <v>56</v>
      </c>
      <c r="G44" s="67">
        <f t="shared" si="1"/>
        <v>3</v>
      </c>
      <c r="H44" s="9" t="s">
        <v>52</v>
      </c>
      <c r="I44" s="4"/>
    </row>
    <row r="45" ht="15.75" customHeight="1">
      <c r="G45" s="69"/>
      <c r="H45" s="53"/>
    </row>
    <row r="46" ht="15.75" customHeight="1">
      <c r="B46" s="64" t="s">
        <v>57</v>
      </c>
      <c r="E46" s="53"/>
      <c r="G46" s="65">
        <f>SUM(G47:G52)/(6*4)</f>
        <v>0.4583333333</v>
      </c>
      <c r="H46" s="66" t="str">
        <f>IF(G46&gt;80%,"Very High",IF(G46&lt;=20%,"Very Low",IF(G46&lt;=40%,"Low",IF(G46&lt;=60%,"Medium","High"))))</f>
        <v>Medium</v>
      </c>
      <c r="I46" s="4"/>
    </row>
    <row r="47" ht="15.75" customHeight="1">
      <c r="B47" s="64" t="s">
        <v>58</v>
      </c>
      <c r="E47" s="53"/>
      <c r="G47" s="67">
        <f t="shared" ref="G47:G52" si="2">IF(H47="Strongly disagree",0,IF(H47="disagree",1,IF(H47="unclear",2,IF(H47="agree",3,4))))</f>
        <v>1</v>
      </c>
      <c r="H47" s="9" t="s">
        <v>47</v>
      </c>
      <c r="I47" s="4"/>
    </row>
    <row r="48" ht="15.75" customHeight="1">
      <c r="B48" s="64" t="s">
        <v>59</v>
      </c>
      <c r="E48" s="53"/>
      <c r="G48" s="67">
        <f t="shared" si="2"/>
        <v>2</v>
      </c>
      <c r="H48" s="9" t="s">
        <v>60</v>
      </c>
      <c r="I48" s="4"/>
    </row>
    <row r="49" ht="15.75" customHeight="1">
      <c r="B49" s="64" t="s">
        <v>61</v>
      </c>
      <c r="E49" s="53"/>
      <c r="G49" s="67">
        <f t="shared" si="2"/>
        <v>2</v>
      </c>
      <c r="H49" s="9" t="s">
        <v>60</v>
      </c>
      <c r="I49" s="4"/>
    </row>
    <row r="50" ht="15.75" customHeight="1">
      <c r="B50" s="64" t="s">
        <v>62</v>
      </c>
      <c r="E50" s="53"/>
      <c r="G50" s="67">
        <f t="shared" si="2"/>
        <v>2</v>
      </c>
      <c r="H50" s="9" t="s">
        <v>60</v>
      </c>
      <c r="I50" s="4"/>
    </row>
    <row r="51" ht="15.75" customHeight="1">
      <c r="B51" s="64" t="s">
        <v>63</v>
      </c>
      <c r="E51" s="53"/>
      <c r="G51" s="67">
        <f t="shared" si="2"/>
        <v>3</v>
      </c>
      <c r="H51" s="9" t="s">
        <v>52</v>
      </c>
      <c r="I51" s="4"/>
    </row>
    <row r="52" ht="15.75" customHeight="1">
      <c r="B52" s="64" t="s">
        <v>64</v>
      </c>
      <c r="E52" s="53"/>
      <c r="G52" s="67">
        <f t="shared" si="2"/>
        <v>1</v>
      </c>
      <c r="H52" s="9" t="s">
        <v>47</v>
      </c>
      <c r="I52" s="4"/>
    </row>
    <row r="53" ht="15.75" customHeight="1">
      <c r="G53" s="69"/>
      <c r="H53" s="53"/>
      <c r="I53" s="53"/>
    </row>
    <row r="54" ht="15.75" customHeight="1">
      <c r="B54" s="64" t="s">
        <v>65</v>
      </c>
      <c r="E54" s="53"/>
      <c r="G54" s="65">
        <f>SUM(G55:G62)/(8*4)</f>
        <v>0.71875</v>
      </c>
      <c r="H54" s="66" t="str">
        <f>IF(G54&gt;80%,"Very High",IF(G54&lt;=20%,"Very Low",IF(G54&lt;=40%,"Low",IF(G54&lt;=60%,"Medium","High"))))</f>
        <v>High</v>
      </c>
      <c r="I54" s="4"/>
    </row>
    <row r="55" ht="15.75" customHeight="1">
      <c r="B55" s="64" t="s">
        <v>66</v>
      </c>
      <c r="E55" s="53"/>
      <c r="G55" s="67">
        <f t="shared" ref="G55:G62" si="3">IF(H55="Strongly disagree",0,IF(H55="disagree",1,IF(H55="unclear",2,IF(H55="agree",3,4))))</f>
        <v>3</v>
      </c>
      <c r="H55" s="9" t="s">
        <v>52</v>
      </c>
      <c r="I55" s="4"/>
    </row>
    <row r="56" ht="15.75" customHeight="1">
      <c r="B56" s="64" t="s">
        <v>67</v>
      </c>
      <c r="E56" s="53"/>
      <c r="G56" s="67">
        <f t="shared" si="3"/>
        <v>3</v>
      </c>
      <c r="H56" s="9" t="s">
        <v>52</v>
      </c>
      <c r="I56" s="4"/>
    </row>
    <row r="57" ht="15.75" customHeight="1">
      <c r="B57" s="64" t="s">
        <v>68</v>
      </c>
      <c r="E57" s="53"/>
      <c r="G57" s="67">
        <f t="shared" si="3"/>
        <v>4</v>
      </c>
      <c r="H57" s="68" t="s">
        <v>49</v>
      </c>
      <c r="I57" s="4"/>
    </row>
    <row r="58" ht="15.75" customHeight="1">
      <c r="B58" s="64" t="s">
        <v>69</v>
      </c>
      <c r="E58" s="53"/>
      <c r="G58" s="67">
        <f t="shared" si="3"/>
        <v>1</v>
      </c>
      <c r="H58" s="9" t="s">
        <v>47</v>
      </c>
      <c r="I58" s="4"/>
    </row>
    <row r="59" ht="15.75" customHeight="1">
      <c r="B59" s="64" t="s">
        <v>70</v>
      </c>
      <c r="E59" s="53"/>
      <c r="G59" s="67">
        <f t="shared" si="3"/>
        <v>3</v>
      </c>
      <c r="H59" s="9" t="s">
        <v>52</v>
      </c>
      <c r="I59" s="4"/>
    </row>
    <row r="60" ht="15.75" customHeight="1">
      <c r="B60" s="64" t="s">
        <v>71</v>
      </c>
      <c r="E60" s="53"/>
      <c r="G60" s="67">
        <f t="shared" si="3"/>
        <v>2</v>
      </c>
      <c r="H60" s="68" t="s">
        <v>60</v>
      </c>
      <c r="I60" s="4"/>
    </row>
    <row r="61" ht="15.75" customHeight="1">
      <c r="B61" s="64" t="s">
        <v>72</v>
      </c>
      <c r="E61" s="53"/>
      <c r="G61" s="67">
        <f t="shared" si="3"/>
        <v>3</v>
      </c>
      <c r="H61" s="9" t="s">
        <v>52</v>
      </c>
      <c r="I61" s="4"/>
    </row>
    <row r="62" ht="15.75" customHeight="1">
      <c r="B62" s="64" t="s">
        <v>73</v>
      </c>
      <c r="E62" s="53"/>
      <c r="G62" s="67">
        <f t="shared" si="3"/>
        <v>4</v>
      </c>
      <c r="H62" s="9" t="s">
        <v>49</v>
      </c>
      <c r="I62" s="4"/>
    </row>
    <row r="63" ht="15.75" customHeight="1">
      <c r="G63" s="69"/>
      <c r="H63" s="53"/>
    </row>
    <row r="64" ht="15.75" customHeight="1">
      <c r="B64" s="64" t="s">
        <v>74</v>
      </c>
      <c r="E64" s="53"/>
      <c r="G64" s="65">
        <f>SUM(G65:G67)/(3*4)</f>
        <v>0</v>
      </c>
      <c r="H64" s="66" t="str">
        <f>IF(G64&gt;80%,"Very High",IF(G64&lt;=20%,"Very Low",IF(G64&lt;=40%,"Low",IF(G64&lt;=60%,"Medium","High"))))</f>
        <v>Very Low</v>
      </c>
      <c r="I64" s="4"/>
    </row>
    <row r="65" ht="15.75" customHeight="1">
      <c r="B65" s="64" t="s">
        <v>75</v>
      </c>
      <c r="E65" s="53"/>
      <c r="G65" s="67">
        <f t="shared" ref="G65:G67" si="4">IF(H65="Strongly disagree",0,IF(H65="disagree",1,IF(H65="unclear",2,IF(H65="agree",3,4))))</f>
        <v>0</v>
      </c>
      <c r="H65" s="68" t="s">
        <v>76</v>
      </c>
      <c r="I65" s="4"/>
    </row>
    <row r="66" ht="15.75" customHeight="1">
      <c r="B66" s="64" t="s">
        <v>77</v>
      </c>
      <c r="E66" s="53"/>
      <c r="G66" s="67">
        <f t="shared" si="4"/>
        <v>0</v>
      </c>
      <c r="H66" s="68" t="s">
        <v>76</v>
      </c>
      <c r="I66" s="4"/>
    </row>
    <row r="67" ht="15.75" customHeight="1">
      <c r="B67" s="64" t="s">
        <v>78</v>
      </c>
      <c r="E67" s="53"/>
      <c r="G67" s="67">
        <f t="shared" si="4"/>
        <v>0</v>
      </c>
      <c r="H67" s="68" t="s">
        <v>76</v>
      </c>
      <c r="I67" s="4"/>
    </row>
    <row r="68" ht="15.75" customHeight="1">
      <c r="G68" s="69"/>
      <c r="H68" s="53"/>
    </row>
    <row r="69" ht="15.75" customHeight="1">
      <c r="B69" s="64" t="s">
        <v>79</v>
      </c>
      <c r="E69" s="53"/>
      <c r="G69" s="70">
        <f>SUM(G70:G78)/(9*4)</f>
        <v>0.8888888889</v>
      </c>
      <c r="H69" s="66" t="str">
        <f>IF(G69&gt;80%,"Very High",IF(G69&lt;=20%,"Very Low",IF(G69&lt;=40%,"Low",IF(G69&lt;=60%,"Medium","High"))))</f>
        <v>Very High</v>
      </c>
      <c r="I69" s="4"/>
    </row>
    <row r="70" ht="15.75" customHeight="1">
      <c r="B70" s="64" t="s">
        <v>80</v>
      </c>
      <c r="E70" s="53"/>
      <c r="G70" s="67">
        <f t="shared" ref="G70:G78" si="5">IF(H70="Strongly disagree",0,IF(H70="disagree",1,IF(H70="unclear",2,IF(H70="agree",3,4))))</f>
        <v>4</v>
      </c>
      <c r="H70" s="68" t="s">
        <v>49</v>
      </c>
      <c r="I70" s="4"/>
    </row>
    <row r="71" ht="15.75" customHeight="1">
      <c r="B71" s="64" t="s">
        <v>81</v>
      </c>
      <c r="E71" s="53"/>
      <c r="G71" s="67">
        <f t="shared" si="5"/>
        <v>4</v>
      </c>
      <c r="H71" s="9" t="s">
        <v>49</v>
      </c>
      <c r="I71" s="4"/>
    </row>
    <row r="72" ht="15.75" customHeight="1">
      <c r="B72" s="64" t="s">
        <v>82</v>
      </c>
      <c r="E72" s="53"/>
      <c r="G72" s="67">
        <f t="shared" si="5"/>
        <v>4</v>
      </c>
      <c r="H72" s="68" t="s">
        <v>49</v>
      </c>
      <c r="I72" s="4"/>
    </row>
    <row r="73" ht="15.75" customHeight="1">
      <c r="B73" s="64" t="s">
        <v>83</v>
      </c>
      <c r="E73" s="53"/>
      <c r="G73" s="67">
        <f t="shared" si="5"/>
        <v>4</v>
      </c>
      <c r="H73" s="68" t="s">
        <v>49</v>
      </c>
      <c r="I73" s="4"/>
    </row>
    <row r="74" ht="15.75" customHeight="1">
      <c r="B74" s="64" t="s">
        <v>84</v>
      </c>
      <c r="E74" s="53"/>
      <c r="G74" s="67">
        <f t="shared" si="5"/>
        <v>4</v>
      </c>
      <c r="H74" s="68" t="s">
        <v>49</v>
      </c>
      <c r="I74" s="4"/>
    </row>
    <row r="75" ht="15.75" customHeight="1">
      <c r="B75" s="64" t="s">
        <v>85</v>
      </c>
      <c r="E75" s="53"/>
      <c r="G75" s="67">
        <f t="shared" si="5"/>
        <v>4</v>
      </c>
      <c r="H75" s="68" t="s">
        <v>49</v>
      </c>
      <c r="I75" s="4"/>
    </row>
    <row r="76" ht="15.75" customHeight="1">
      <c r="B76" s="64" t="s">
        <v>86</v>
      </c>
      <c r="E76" s="53"/>
      <c r="G76" s="67">
        <f t="shared" si="5"/>
        <v>4</v>
      </c>
      <c r="H76" s="68" t="s">
        <v>49</v>
      </c>
      <c r="I76" s="4"/>
    </row>
    <row r="77" ht="15.75" customHeight="1">
      <c r="B77" s="64" t="s">
        <v>87</v>
      </c>
      <c r="E77" s="53"/>
      <c r="G77" s="67">
        <f t="shared" si="5"/>
        <v>4</v>
      </c>
      <c r="H77" s="68" t="s">
        <v>49</v>
      </c>
      <c r="I77" s="4"/>
    </row>
    <row r="78" ht="15.75" customHeight="1">
      <c r="B78" s="64" t="s">
        <v>88</v>
      </c>
      <c r="E78" s="53"/>
      <c r="G78" s="67">
        <f t="shared" si="5"/>
        <v>0</v>
      </c>
      <c r="H78" s="68" t="s">
        <v>76</v>
      </c>
      <c r="I78" s="4"/>
    </row>
    <row r="79" ht="15.75" customHeight="1">
      <c r="G79" s="69"/>
      <c r="H79" s="53"/>
    </row>
    <row r="80" ht="15.75" customHeight="1">
      <c r="B80" s="64" t="s">
        <v>89</v>
      </c>
      <c r="E80" s="53"/>
      <c r="G80" s="71">
        <f>1-AVERAGE(G36,G46,G54,G64,G69)</f>
        <v>0.4430555556</v>
      </c>
      <c r="H80" s="66" t="str">
        <f>IF(G80&gt;80%,"Very Low",IF(G80&lt;=20%,"Very High",IF(G80&lt;=40%,"High",IF(G80&lt;=60%,"Medium","Low"))))</f>
        <v>Medium</v>
      </c>
      <c r="I80" s="4"/>
    </row>
    <row r="81" ht="15.75" customHeight="1">
      <c r="B81" s="64" t="s">
        <v>90</v>
      </c>
      <c r="E81" s="53"/>
      <c r="H81" s="72">
        <f>ROUND((G80)*10,0)</f>
        <v>4</v>
      </c>
      <c r="I81" s="4"/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7">
    <mergeCell ref="H61:I61"/>
    <mergeCell ref="H62:I62"/>
    <mergeCell ref="H64:I64"/>
    <mergeCell ref="H65:I65"/>
    <mergeCell ref="H66:I66"/>
    <mergeCell ref="H67:I67"/>
    <mergeCell ref="H69:I69"/>
    <mergeCell ref="H77:I77"/>
    <mergeCell ref="H78:I78"/>
    <mergeCell ref="H80:I80"/>
    <mergeCell ref="H81:I81"/>
    <mergeCell ref="H70:I70"/>
    <mergeCell ref="H71:I71"/>
    <mergeCell ref="H72:I72"/>
    <mergeCell ref="H73:I73"/>
    <mergeCell ref="H74:I74"/>
    <mergeCell ref="H75:I75"/>
    <mergeCell ref="H76:I76"/>
    <mergeCell ref="C2:D2"/>
    <mergeCell ref="C3:D3"/>
    <mergeCell ref="C4:D4"/>
    <mergeCell ref="C5:D5"/>
    <mergeCell ref="C6:D6"/>
    <mergeCell ref="C8:D8"/>
    <mergeCell ref="C9:D9"/>
    <mergeCell ref="C10:D10"/>
    <mergeCell ref="C11:D11"/>
    <mergeCell ref="C12:D12"/>
    <mergeCell ref="C15:D15"/>
    <mergeCell ref="E15:F15"/>
    <mergeCell ref="C16:D16"/>
    <mergeCell ref="E16:F16"/>
    <mergeCell ref="C17:F17"/>
    <mergeCell ref="C18:D18"/>
    <mergeCell ref="E18:F18"/>
    <mergeCell ref="C19:D19"/>
    <mergeCell ref="E19:F19"/>
    <mergeCell ref="C20:F20"/>
    <mergeCell ref="C23:I23"/>
    <mergeCell ref="C24:I24"/>
    <mergeCell ref="C25:I25"/>
    <mergeCell ref="C27:C28"/>
    <mergeCell ref="F27:F28"/>
    <mergeCell ref="D28:E28"/>
    <mergeCell ref="H36:I36"/>
    <mergeCell ref="H37:I37"/>
    <mergeCell ref="H38:I38"/>
    <mergeCell ref="H39:I39"/>
    <mergeCell ref="H40:I40"/>
    <mergeCell ref="H41:I41"/>
    <mergeCell ref="H42:I42"/>
    <mergeCell ref="H43:I43"/>
    <mergeCell ref="H44:I44"/>
    <mergeCell ref="H46:I46"/>
    <mergeCell ref="H47:I47"/>
    <mergeCell ref="H48:I48"/>
    <mergeCell ref="H49:I49"/>
    <mergeCell ref="H50:I50"/>
    <mergeCell ref="H51:I51"/>
    <mergeCell ref="H52:I52"/>
    <mergeCell ref="H54:I54"/>
    <mergeCell ref="H55:I55"/>
    <mergeCell ref="H56:I56"/>
    <mergeCell ref="H57:I57"/>
    <mergeCell ref="H58:I58"/>
    <mergeCell ref="H59:I59"/>
    <mergeCell ref="H60:I60"/>
  </mergeCells>
  <conditionalFormatting sqref="E36:E81">
    <cfRule type="notContainsBlanks" dxfId="0" priority="1">
      <formula>LEN(TRIM(E36))&gt;0</formula>
    </cfRule>
  </conditionalFormatting>
  <dataValidations>
    <dataValidation type="list" allowBlank="1" sqref="H36 H46 H54 H64 H69">
      <formula1>"Very High,High,Medium,Low,Very Low"</formula1>
    </dataValidation>
    <dataValidation type="list" allowBlank="1" sqref="H37:H44 H47:H52 H55:H62 H65:H67 H70:H78">
      <formula1>"Strongly agree,agree,unclear,disagree,Strongly disagree"</formula1>
    </dataValidation>
    <dataValidation type="list" allowBlank="1" sqref="C6">
      <formula1>"HK,US:NASDAQ,CN"</formula1>
    </dataValidation>
    <dataValidation type="list" allowBlank="1" sqref="C12">
      <formula1>"HKD,USD,CNY,EUR"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1.63"/>
    <col customWidth="1" min="2" max="2" width="26.63"/>
    <col customWidth="1" min="3" max="4" width="17.63"/>
    <col customWidth="1" min="5" max="5" width="20.88"/>
    <col customWidth="1" min="6" max="13" width="17.63"/>
  </cols>
  <sheetData>
    <row r="1" ht="8.25" customHeight="1">
      <c r="A1" s="73"/>
      <c r="B1" s="74"/>
      <c r="C1" s="69"/>
      <c r="D1" s="69"/>
      <c r="E1" s="69"/>
      <c r="F1" s="69"/>
    </row>
    <row r="2" ht="15.75" customHeight="1">
      <c r="A2" s="73"/>
      <c r="B2" s="75" t="s">
        <v>91</v>
      </c>
      <c r="C2" s="76"/>
      <c r="D2" s="76"/>
      <c r="E2" s="76"/>
      <c r="F2" s="76"/>
    </row>
    <row r="3" ht="15.75" customHeight="1">
      <c r="A3" s="31"/>
      <c r="B3" s="64" t="s">
        <v>92</v>
      </c>
      <c r="C3" s="77">
        <v>2021.0</v>
      </c>
      <c r="E3" s="64" t="s">
        <v>93</v>
      </c>
      <c r="F3" s="78">
        <v>1000.0</v>
      </c>
      <c r="H3" s="1" t="s">
        <v>94</v>
      </c>
      <c r="J3" s="79">
        <f>(C9/G9)^(1/5)-1</f>
        <v>-0.149072177</v>
      </c>
    </row>
    <row r="4" ht="15.75" customHeight="1">
      <c r="A4" s="31"/>
      <c r="B4" s="64" t="s">
        <v>95</v>
      </c>
      <c r="C4" s="77" t="s">
        <v>96</v>
      </c>
      <c r="E4" s="64" t="s">
        <v>97</v>
      </c>
      <c r="F4" s="80">
        <v>11936.0</v>
      </c>
      <c r="H4" s="64" t="s">
        <v>98</v>
      </c>
      <c r="J4" s="79">
        <f>AVERAGE(C35:F35)</f>
        <v>0.06019689971</v>
      </c>
    </row>
    <row r="5" ht="15.75" customHeight="1">
      <c r="A5" s="31"/>
    </row>
    <row r="6" ht="15.75" customHeight="1">
      <c r="A6" s="31"/>
      <c r="B6" s="81"/>
      <c r="C6" s="82" t="str">
        <f>IF($C$4="H1","LTM ","FY ")&amp;$C$3</f>
        <v>FY 2021</v>
      </c>
      <c r="D6" s="82" t="str">
        <f>IF($C$4="H1","LTM ","FY ")&amp;$C$3-1</f>
        <v>FY 2020</v>
      </c>
      <c r="E6" s="82" t="str">
        <f>IF($C$4="H1","LTM ","FY ")&amp;$C$3-2</f>
        <v>FY 2019</v>
      </c>
      <c r="F6" s="82" t="str">
        <f>IF($C$4="H1","LTM ","FY ")&amp;$C$3-3</f>
        <v>FY 2018</v>
      </c>
      <c r="G6" s="82" t="str">
        <f>IF($C$4="H1","LTM ","FY ")&amp;$C$3-4</f>
        <v>FY 2017</v>
      </c>
      <c r="H6" s="82" t="str">
        <f>IF($C$4="H1","LTM ","FY ")&amp;$C$3-5</f>
        <v>FY 2016</v>
      </c>
      <c r="I6" s="82" t="str">
        <f>IF($C$4="H1","LTM ","FY ")&amp;$C$3-6</f>
        <v>FY 2015</v>
      </c>
      <c r="J6" s="82" t="str">
        <f>IF($C$4="H1","LTM ","FY ")&amp;$C$3-7</f>
        <v>FY 2014</v>
      </c>
      <c r="K6" s="82" t="str">
        <f>IF($C$4="H1","LTM ","FY ")&amp;$C$3-8</f>
        <v>FY 2013</v>
      </c>
      <c r="L6" s="82" t="str">
        <f>IF($C$4="H1","LTM ","FY ")&amp;$C$3-9</f>
        <v>FY 2012</v>
      </c>
      <c r="M6" s="82" t="str">
        <f>IF($C$4="H1","LTM ","FY ")&amp;$C$3-10</f>
        <v>FY 2011</v>
      </c>
    </row>
    <row r="7" ht="15.75" customHeight="1">
      <c r="A7" s="31"/>
      <c r="B7" s="83" t="s">
        <v>99</v>
      </c>
      <c r="C7" s="80">
        <v>320403.0</v>
      </c>
      <c r="D7" s="80">
        <v>309279.0</v>
      </c>
      <c r="E7" s="80">
        <v>378854.0</v>
      </c>
      <c r="F7" s="80">
        <v>337624.0</v>
      </c>
      <c r="G7" s="80">
        <v>347449.0</v>
      </c>
      <c r="H7" s="78"/>
      <c r="I7" s="78"/>
      <c r="J7" s="78"/>
      <c r="K7" s="78"/>
      <c r="L7" s="78"/>
      <c r="M7" s="78"/>
    </row>
    <row r="8" ht="15.75" customHeight="1">
      <c r="A8" s="31"/>
      <c r="B8" s="83" t="s">
        <v>100</v>
      </c>
      <c r="C8" s="27">
        <f t="shared" ref="C8:L8" si="1">IF(D7="","",C7/D7-1)</f>
        <v>0.03596752447</v>
      </c>
      <c r="D8" s="27">
        <f t="shared" si="1"/>
        <v>-0.1836459428</v>
      </c>
      <c r="E8" s="27">
        <f t="shared" si="1"/>
        <v>0.1221180959</v>
      </c>
      <c r="F8" s="27">
        <f t="shared" si="1"/>
        <v>-0.02827753138</v>
      </c>
      <c r="G8" s="27" t="str">
        <f t="shared" si="1"/>
        <v/>
      </c>
      <c r="H8" s="27" t="str">
        <f t="shared" si="1"/>
        <v/>
      </c>
      <c r="I8" s="27" t="str">
        <f t="shared" si="1"/>
        <v/>
      </c>
      <c r="J8" s="27" t="str">
        <f t="shared" si="1"/>
        <v/>
      </c>
      <c r="K8" s="27" t="str">
        <f t="shared" si="1"/>
        <v/>
      </c>
      <c r="L8" s="27" t="str">
        <f t="shared" si="1"/>
        <v/>
      </c>
      <c r="M8" s="84"/>
    </row>
    <row r="9" ht="15.75" customHeight="1">
      <c r="A9" s="31"/>
      <c r="B9" s="83" t="s">
        <v>101</v>
      </c>
      <c r="C9" s="80">
        <v>14303.0</v>
      </c>
      <c r="D9" s="80">
        <v>9642.0</v>
      </c>
      <c r="E9" s="80">
        <v>25398.0</v>
      </c>
      <c r="F9" s="80">
        <v>12208.0</v>
      </c>
      <c r="G9" s="80">
        <v>32060.0</v>
      </c>
      <c r="H9" s="78"/>
      <c r="I9" s="78"/>
      <c r="J9" s="78"/>
      <c r="K9" s="78"/>
      <c r="L9" s="78"/>
      <c r="M9" s="78"/>
    </row>
    <row r="10" ht="15.75" customHeight="1">
      <c r="A10" s="31"/>
      <c r="B10" s="83" t="s">
        <v>102</v>
      </c>
      <c r="C10" s="27">
        <f t="shared" ref="C10:M10" si="2">IF(C9="","",C9/C7)</f>
        <v>0.04464065567</v>
      </c>
      <c r="D10" s="27">
        <f t="shared" si="2"/>
        <v>0.03117573453</v>
      </c>
      <c r="E10" s="27">
        <f t="shared" si="2"/>
        <v>0.06703901767</v>
      </c>
      <c r="F10" s="27">
        <f t="shared" si="2"/>
        <v>0.03615856693</v>
      </c>
      <c r="G10" s="27">
        <f t="shared" si="2"/>
        <v>0.09227253496</v>
      </c>
      <c r="H10" s="27" t="str">
        <f t="shared" si="2"/>
        <v/>
      </c>
      <c r="I10" s="27" t="str">
        <f t="shared" si="2"/>
        <v/>
      </c>
      <c r="J10" s="27" t="str">
        <f t="shared" si="2"/>
        <v/>
      </c>
      <c r="K10" s="27" t="str">
        <f t="shared" si="2"/>
        <v/>
      </c>
      <c r="L10" s="27" t="str">
        <f t="shared" si="2"/>
        <v/>
      </c>
      <c r="M10" s="27" t="str">
        <f t="shared" si="2"/>
        <v/>
      </c>
    </row>
    <row r="11" ht="15.75" customHeight="1">
      <c r="A11" s="31"/>
      <c r="B11" s="83" t="s">
        <v>39</v>
      </c>
      <c r="C11" s="27">
        <f t="shared" ref="C11:L11" si="3">IF(D9="","",C9/D9-1)</f>
        <v>0.4834059324</v>
      </c>
      <c r="D11" s="27">
        <f t="shared" si="3"/>
        <v>-0.6203638082</v>
      </c>
      <c r="E11" s="27">
        <f t="shared" si="3"/>
        <v>1.080439056</v>
      </c>
      <c r="F11" s="27">
        <f t="shared" si="3"/>
        <v>-0.6192139738</v>
      </c>
      <c r="G11" s="27" t="str">
        <f t="shared" si="3"/>
        <v/>
      </c>
      <c r="H11" s="27" t="str">
        <f t="shared" si="3"/>
        <v/>
      </c>
      <c r="I11" s="27" t="str">
        <f t="shared" si="3"/>
        <v/>
      </c>
      <c r="J11" s="27" t="str">
        <f t="shared" si="3"/>
        <v/>
      </c>
      <c r="K11" s="27" t="str">
        <f t="shared" si="3"/>
        <v/>
      </c>
      <c r="L11" s="27" t="str">
        <f t="shared" si="3"/>
        <v/>
      </c>
      <c r="M11" s="84"/>
    </row>
    <row r="12" ht="15.75" customHeight="1">
      <c r="A12" s="31"/>
      <c r="B12" s="83" t="s">
        <v>103</v>
      </c>
      <c r="C12" s="85">
        <f t="shared" ref="C12:D12" si="4">IF(C9="","",C9*(1-D52))</f>
        <v>11943.005</v>
      </c>
      <c r="D12" s="85">
        <f t="shared" si="4"/>
        <v>9642</v>
      </c>
      <c r="E12" s="85">
        <f t="shared" ref="E12:M12" si="5">IF(E9="","",E9*(1-F54))</f>
        <v>25398</v>
      </c>
      <c r="F12" s="85">
        <f t="shared" si="5"/>
        <v>12208</v>
      </c>
      <c r="G12" s="85">
        <f t="shared" si="5"/>
        <v>32060</v>
      </c>
      <c r="H12" s="85" t="str">
        <f t="shared" si="5"/>
        <v/>
      </c>
      <c r="I12" s="85" t="str">
        <f t="shared" si="5"/>
        <v/>
      </c>
      <c r="J12" s="85" t="str">
        <f t="shared" si="5"/>
        <v/>
      </c>
      <c r="K12" s="85" t="str">
        <f t="shared" si="5"/>
        <v/>
      </c>
      <c r="L12" s="85" t="str">
        <f t="shared" si="5"/>
        <v/>
      </c>
      <c r="M12" s="85" t="str">
        <f t="shared" si="5"/>
        <v/>
      </c>
    </row>
    <row r="13" ht="15.75" customHeight="1">
      <c r="A13" s="31"/>
      <c r="B13" s="83" t="s">
        <v>104</v>
      </c>
      <c r="C13" s="80">
        <v>902.0</v>
      </c>
      <c r="D13" s="80">
        <v>1173.0</v>
      </c>
      <c r="E13" s="80">
        <v>1561.0</v>
      </c>
      <c r="F13" s="80">
        <v>365.0</v>
      </c>
      <c r="G13" s="80">
        <v>1257.0</v>
      </c>
      <c r="H13" s="78"/>
      <c r="I13" s="78"/>
      <c r="J13" s="78"/>
      <c r="K13" s="78"/>
      <c r="L13" s="78"/>
      <c r="M13" s="78"/>
    </row>
    <row r="14" ht="15.75" customHeight="1">
      <c r="A14" s="31"/>
      <c r="B14" s="83" t="s">
        <v>105</v>
      </c>
      <c r="C14" s="86">
        <v>0.2398</v>
      </c>
      <c r="D14" s="86">
        <v>0.1669</v>
      </c>
      <c r="E14" s="86">
        <v>0.281</v>
      </c>
      <c r="F14" s="86">
        <v>0.4359</v>
      </c>
      <c r="G14" s="86">
        <v>0.1874</v>
      </c>
      <c r="H14" s="87"/>
      <c r="I14" s="87"/>
      <c r="J14" s="87"/>
      <c r="K14" s="87"/>
      <c r="L14" s="87"/>
      <c r="M14" s="87"/>
    </row>
    <row r="15" ht="15.75" customHeight="1">
      <c r="A15" s="31"/>
      <c r="B15" s="83" t="s">
        <v>106</v>
      </c>
      <c r="C15" s="80">
        <f>SUM('Liquidation Value'!C12:C16)</f>
        <v>278951</v>
      </c>
      <c r="D15" s="80">
        <v>341395.0</v>
      </c>
      <c r="E15" s="80">
        <v>343291.0</v>
      </c>
      <c r="F15" s="80">
        <v>367767.0</v>
      </c>
      <c r="G15" s="80">
        <v>307707.0</v>
      </c>
      <c r="H15" s="78"/>
      <c r="I15" s="78"/>
      <c r="J15" s="78"/>
      <c r="K15" s="78"/>
      <c r="L15" s="78"/>
      <c r="M15" s="78"/>
    </row>
    <row r="16" ht="15.75" customHeight="1">
      <c r="A16" s="31"/>
      <c r="B16" s="83" t="s">
        <v>107</v>
      </c>
      <c r="C16" s="80">
        <f>SUM('Liquidation Value'!H12:H15)</f>
        <v>90672</v>
      </c>
      <c r="D16" s="80">
        <v>79341.0</v>
      </c>
      <c r="E16" s="80">
        <v>95250.0</v>
      </c>
      <c r="F16" s="80">
        <v>108360.0</v>
      </c>
      <c r="G16" s="80">
        <v>75694.0</v>
      </c>
      <c r="H16" s="78"/>
      <c r="I16" s="78"/>
      <c r="J16" s="78"/>
      <c r="K16" s="78"/>
      <c r="L16" s="78"/>
      <c r="M16" s="78"/>
    </row>
    <row r="17" ht="15.75" customHeight="1">
      <c r="A17" s="31"/>
      <c r="B17" s="83" t="s">
        <v>108</v>
      </c>
      <c r="C17" s="80">
        <f>'Liquidation Value'!H14+'Liquidation Value'!H15</f>
        <v>23438</v>
      </c>
      <c r="D17" s="80">
        <v>14082.0</v>
      </c>
      <c r="E17" s="80">
        <v>15304.0</v>
      </c>
      <c r="F17" s="80">
        <v>3415.0</v>
      </c>
      <c r="G17" s="80">
        <v>2200.0</v>
      </c>
      <c r="H17" s="78"/>
      <c r="I17" s="78"/>
      <c r="J17" s="78"/>
      <c r="K17" s="78"/>
      <c r="L17" s="78"/>
      <c r="M17" s="78"/>
    </row>
    <row r="18" ht="15.75" customHeight="1">
      <c r="A18" s="31"/>
      <c r="B18" s="83" t="s">
        <v>109</v>
      </c>
      <c r="C18" s="80">
        <f>'Liquidation Value'!H18+'Liquidation Value'!H19</f>
        <v>10107</v>
      </c>
      <c r="D18" s="80">
        <v>5814.0</v>
      </c>
      <c r="E18" s="80">
        <v>8961.0</v>
      </c>
      <c r="F18" s="80">
        <v>6546.0</v>
      </c>
      <c r="G18" s="80">
        <v>1375.0</v>
      </c>
      <c r="H18" s="78"/>
      <c r="I18" s="78"/>
      <c r="J18" s="78"/>
      <c r="K18" s="78"/>
      <c r="L18" s="78"/>
      <c r="M18" s="78"/>
    </row>
    <row r="19" ht="15.75" customHeight="1">
      <c r="A19" s="31"/>
      <c r="B19" s="83" t="s">
        <v>110</v>
      </c>
      <c r="C19" s="85">
        <f t="shared" ref="C19:M19" si="6">IF(C7="","",C17+C18)</f>
        <v>33545</v>
      </c>
      <c r="D19" s="85">
        <f t="shared" si="6"/>
        <v>19896</v>
      </c>
      <c r="E19" s="85">
        <f t="shared" si="6"/>
        <v>24265</v>
      </c>
      <c r="F19" s="85">
        <f t="shared" si="6"/>
        <v>9961</v>
      </c>
      <c r="G19" s="85">
        <f t="shared" si="6"/>
        <v>3575</v>
      </c>
      <c r="H19" s="85" t="str">
        <f t="shared" si="6"/>
        <v/>
      </c>
      <c r="I19" s="85" t="str">
        <f t="shared" si="6"/>
        <v/>
      </c>
      <c r="J19" s="85" t="str">
        <f t="shared" si="6"/>
        <v/>
      </c>
      <c r="K19" s="85" t="str">
        <f t="shared" si="6"/>
        <v/>
      </c>
      <c r="L19" s="85" t="str">
        <f t="shared" si="6"/>
        <v/>
      </c>
      <c r="M19" s="85" t="str">
        <f t="shared" si="6"/>
        <v/>
      </c>
    </row>
    <row r="20" ht="15.75" customHeight="1">
      <c r="A20" s="31"/>
      <c r="B20" s="83" t="s">
        <v>111</v>
      </c>
      <c r="C20" s="80">
        <v>404718.0</v>
      </c>
      <c r="D20" s="80">
        <v>424793.0</v>
      </c>
      <c r="E20" s="80">
        <v>406268.0</v>
      </c>
      <c r="F20" s="80">
        <v>398663.0</v>
      </c>
      <c r="G20" s="80">
        <v>397580.0</v>
      </c>
      <c r="H20" s="78"/>
      <c r="I20" s="78"/>
      <c r="J20" s="78"/>
      <c r="K20" s="78"/>
      <c r="L20" s="78"/>
      <c r="M20" s="78"/>
    </row>
    <row r="21" ht="15.75" customHeight="1">
      <c r="A21" s="31"/>
      <c r="B21" s="83" t="s">
        <v>112</v>
      </c>
      <c r="C21" s="78">
        <v>0.0</v>
      </c>
      <c r="D21" s="78">
        <v>0.0</v>
      </c>
      <c r="E21" s="78">
        <v>0.0</v>
      </c>
      <c r="F21" s="78">
        <v>0.0</v>
      </c>
      <c r="G21" s="78">
        <v>0.0</v>
      </c>
      <c r="H21" s="78"/>
      <c r="I21" s="78"/>
      <c r="J21" s="78"/>
      <c r="K21" s="78"/>
      <c r="L21" s="78"/>
      <c r="M21" s="78"/>
    </row>
    <row r="22" ht="15.75" customHeight="1">
      <c r="A22" s="31"/>
      <c r="B22" s="83" t="s">
        <v>113</v>
      </c>
      <c r="C22" s="80">
        <v>135122.0</v>
      </c>
      <c r="D22" s="80">
        <v>188383.0</v>
      </c>
      <c r="E22" s="80">
        <v>168743.0</v>
      </c>
      <c r="F22" s="80">
        <v>171408.0</v>
      </c>
      <c r="G22" s="80">
        <v>158417.0</v>
      </c>
      <c r="H22" s="78"/>
      <c r="I22" s="78"/>
      <c r="J22" s="78"/>
      <c r="K22" s="78"/>
      <c r="L22" s="78"/>
      <c r="M22" s="78"/>
    </row>
    <row r="23" ht="15.75" customHeight="1">
      <c r="A23" s="31"/>
      <c r="B23" s="83" t="s">
        <v>114</v>
      </c>
      <c r="C23" s="80">
        <v>0.0</v>
      </c>
      <c r="D23" s="80">
        <v>0.0</v>
      </c>
      <c r="E23" s="80">
        <v>0.0</v>
      </c>
      <c r="F23" s="80">
        <v>0.0</v>
      </c>
      <c r="G23" s="80">
        <v>0.0</v>
      </c>
      <c r="H23" s="78"/>
      <c r="I23" s="78"/>
      <c r="J23" s="78"/>
      <c r="K23" s="78"/>
      <c r="L23" s="78"/>
      <c r="M23" s="78"/>
    </row>
    <row r="24" ht="15.75" customHeight="1">
      <c r="A24" s="31"/>
      <c r="B24" s="83" t="s">
        <v>115</v>
      </c>
      <c r="C24" s="85">
        <f t="shared" ref="C24:M24" si="7">IF(C20="","",C19+C20-C22)</f>
        <v>303141</v>
      </c>
      <c r="D24" s="85">
        <f t="shared" si="7"/>
        <v>256306</v>
      </c>
      <c r="E24" s="85">
        <f t="shared" si="7"/>
        <v>261790</v>
      </c>
      <c r="F24" s="85">
        <f t="shared" si="7"/>
        <v>237216</v>
      </c>
      <c r="G24" s="85">
        <f t="shared" si="7"/>
        <v>242738</v>
      </c>
      <c r="H24" s="85" t="str">
        <f t="shared" si="7"/>
        <v/>
      </c>
      <c r="I24" s="85" t="str">
        <f t="shared" si="7"/>
        <v/>
      </c>
      <c r="J24" s="85" t="str">
        <f t="shared" si="7"/>
        <v/>
      </c>
      <c r="K24" s="85" t="str">
        <f t="shared" si="7"/>
        <v/>
      </c>
      <c r="L24" s="85" t="str">
        <f t="shared" si="7"/>
        <v/>
      </c>
      <c r="M24" s="85" t="str">
        <f t="shared" si="7"/>
        <v/>
      </c>
    </row>
    <row r="25" ht="15.75" customHeight="1">
      <c r="A25" s="31"/>
      <c r="B25" s="83" t="s">
        <v>116</v>
      </c>
      <c r="C25" s="80">
        <v>56997.0</v>
      </c>
      <c r="D25" s="80">
        <v>-4321.0</v>
      </c>
      <c r="E25" s="80">
        <v>37512.0</v>
      </c>
      <c r="F25" s="80">
        <v>-11261.0</v>
      </c>
      <c r="G25" s="80">
        <v>139264.0</v>
      </c>
      <c r="H25" s="78"/>
      <c r="I25" s="78"/>
      <c r="J25" s="78"/>
      <c r="K25" s="78"/>
      <c r="L25" s="78"/>
      <c r="M25" s="88"/>
    </row>
    <row r="26" ht="15.75" customHeight="1">
      <c r="A26" s="31"/>
      <c r="B26" s="83" t="s">
        <v>117</v>
      </c>
      <c r="C26" s="27">
        <f t="shared" ref="C26:L26" si="8">IF(D20="","",C25/C7)</f>
        <v>0.1778915928</v>
      </c>
      <c r="D26" s="27">
        <f t="shared" si="8"/>
        <v>-0.01397120399</v>
      </c>
      <c r="E26" s="27">
        <f t="shared" si="8"/>
        <v>0.09901439605</v>
      </c>
      <c r="F26" s="27">
        <f t="shared" si="8"/>
        <v>-0.03335367154</v>
      </c>
      <c r="G26" s="27" t="str">
        <f t="shared" si="8"/>
        <v/>
      </c>
      <c r="H26" s="27" t="str">
        <f t="shared" si="8"/>
        <v/>
      </c>
      <c r="I26" s="27" t="str">
        <f t="shared" si="8"/>
        <v/>
      </c>
      <c r="J26" s="27" t="str">
        <f t="shared" si="8"/>
        <v/>
      </c>
      <c r="K26" s="27" t="str">
        <f t="shared" si="8"/>
        <v/>
      </c>
      <c r="L26" s="27" t="str">
        <f t="shared" si="8"/>
        <v/>
      </c>
      <c r="M26" s="88"/>
    </row>
    <row r="27" ht="15.75" customHeight="1">
      <c r="A27" s="31"/>
      <c r="B27" s="83" t="s">
        <v>118</v>
      </c>
      <c r="C27" s="85">
        <f t="shared" ref="C27:M27" si="9">IF(C15="","",(C15-C22)-(C16-C17))</f>
        <v>76595</v>
      </c>
      <c r="D27" s="85">
        <f t="shared" si="9"/>
        <v>87753</v>
      </c>
      <c r="E27" s="85">
        <f t="shared" si="9"/>
        <v>94602</v>
      </c>
      <c r="F27" s="85">
        <f t="shared" si="9"/>
        <v>91414</v>
      </c>
      <c r="G27" s="85">
        <f t="shared" si="9"/>
        <v>75796</v>
      </c>
      <c r="H27" s="85" t="str">
        <f t="shared" si="9"/>
        <v/>
      </c>
      <c r="I27" s="85" t="str">
        <f t="shared" si="9"/>
        <v/>
      </c>
      <c r="J27" s="85" t="str">
        <f t="shared" si="9"/>
        <v/>
      </c>
      <c r="K27" s="85" t="str">
        <f t="shared" si="9"/>
        <v/>
      </c>
      <c r="L27" s="85" t="str">
        <f t="shared" si="9"/>
        <v/>
      </c>
      <c r="M27" s="85" t="str">
        <f t="shared" si="9"/>
        <v/>
      </c>
    </row>
    <row r="28" ht="15.75" customHeight="1">
      <c r="A28" s="31"/>
      <c r="B28" s="83" t="s">
        <v>119</v>
      </c>
      <c r="C28" s="85">
        <f t="shared" ref="C28:L28" si="10">IF(D27="","",C27-D27)</f>
        <v>-11158</v>
      </c>
      <c r="D28" s="85">
        <f t="shared" si="10"/>
        <v>-6849</v>
      </c>
      <c r="E28" s="85">
        <f t="shared" si="10"/>
        <v>3188</v>
      </c>
      <c r="F28" s="85">
        <f t="shared" si="10"/>
        <v>15618</v>
      </c>
      <c r="G28" s="85" t="str">
        <f t="shared" si="10"/>
        <v/>
      </c>
      <c r="H28" s="85" t="str">
        <f t="shared" si="10"/>
        <v/>
      </c>
      <c r="I28" s="85" t="str">
        <f t="shared" si="10"/>
        <v/>
      </c>
      <c r="J28" s="85" t="str">
        <f t="shared" si="10"/>
        <v/>
      </c>
      <c r="K28" s="85" t="str">
        <f t="shared" si="10"/>
        <v/>
      </c>
      <c r="L28" s="85" t="str">
        <f t="shared" si="10"/>
        <v/>
      </c>
      <c r="M28" s="84"/>
    </row>
    <row r="29" ht="15.75" customHeight="1">
      <c r="A29" s="31"/>
      <c r="B29" s="83" t="s">
        <v>120</v>
      </c>
      <c r="C29" s="27">
        <f t="shared" ref="C29:M29" si="11">IF(C20="","",C27/C7)</f>
        <v>0.2390583109</v>
      </c>
      <c r="D29" s="27">
        <f t="shared" si="11"/>
        <v>0.2837341042</v>
      </c>
      <c r="E29" s="27">
        <f t="shared" si="11"/>
        <v>0.2497056914</v>
      </c>
      <c r="F29" s="27">
        <f t="shared" si="11"/>
        <v>0.2707568182</v>
      </c>
      <c r="G29" s="27">
        <f t="shared" si="11"/>
        <v>0.2181500019</v>
      </c>
      <c r="H29" s="27" t="str">
        <f t="shared" si="11"/>
        <v/>
      </c>
      <c r="I29" s="27" t="str">
        <f t="shared" si="11"/>
        <v/>
      </c>
      <c r="J29" s="27" t="str">
        <f t="shared" si="11"/>
        <v/>
      </c>
      <c r="K29" s="27" t="str">
        <f t="shared" si="11"/>
        <v/>
      </c>
      <c r="L29" s="27" t="str">
        <f t="shared" si="11"/>
        <v/>
      </c>
      <c r="M29" s="27" t="str">
        <f t="shared" si="11"/>
        <v/>
      </c>
    </row>
    <row r="30" ht="15.75" customHeight="1">
      <c r="A30" s="31"/>
      <c r="B30" s="83" t="s">
        <v>121</v>
      </c>
      <c r="C30" s="85">
        <f t="shared" ref="C30:L30" si="12">IF(C28="","",C25+C28)</f>
        <v>45839</v>
      </c>
      <c r="D30" s="85">
        <f t="shared" si="12"/>
        <v>-11170</v>
      </c>
      <c r="E30" s="85">
        <f t="shared" si="12"/>
        <v>40700</v>
      </c>
      <c r="F30" s="85">
        <f t="shared" si="12"/>
        <v>4357</v>
      </c>
      <c r="G30" s="85" t="str">
        <f t="shared" si="12"/>
        <v/>
      </c>
      <c r="H30" s="85" t="str">
        <f t="shared" si="12"/>
        <v/>
      </c>
      <c r="I30" s="85" t="str">
        <f t="shared" si="12"/>
        <v/>
      </c>
      <c r="J30" s="85" t="str">
        <f t="shared" si="12"/>
        <v/>
      </c>
      <c r="K30" s="85" t="str">
        <f t="shared" si="12"/>
        <v/>
      </c>
      <c r="L30" s="85" t="str">
        <f t="shared" si="12"/>
        <v/>
      </c>
      <c r="M30" s="89"/>
    </row>
    <row r="31" ht="15.75" customHeight="1">
      <c r="A31" s="31"/>
      <c r="B31" s="83" t="s">
        <v>41</v>
      </c>
      <c r="C31" s="27">
        <f t="shared" ref="C31:L31" si="13">IF(C28="","",C30/C12)</f>
        <v>3.838146262</v>
      </c>
      <c r="D31" s="27">
        <f t="shared" si="13"/>
        <v>-1.158473346</v>
      </c>
      <c r="E31" s="27">
        <f t="shared" si="13"/>
        <v>1.602488385</v>
      </c>
      <c r="F31" s="27">
        <f t="shared" si="13"/>
        <v>0.3568971166</v>
      </c>
      <c r="G31" s="27" t="str">
        <f t="shared" si="13"/>
        <v/>
      </c>
      <c r="H31" s="27" t="str">
        <f t="shared" si="13"/>
        <v/>
      </c>
      <c r="I31" s="27" t="str">
        <f t="shared" si="13"/>
        <v/>
      </c>
      <c r="J31" s="27" t="str">
        <f t="shared" si="13"/>
        <v/>
      </c>
      <c r="K31" s="27" t="str">
        <f t="shared" si="13"/>
        <v/>
      </c>
      <c r="L31" s="27" t="str">
        <f t="shared" si="13"/>
        <v/>
      </c>
      <c r="M31" s="89"/>
    </row>
    <row r="32" ht="15.75" customHeight="1">
      <c r="A32" s="31"/>
      <c r="B32" s="90" t="s">
        <v>122</v>
      </c>
    </row>
    <row r="33" ht="15.75" customHeight="1">
      <c r="A33" s="31"/>
      <c r="B33" s="83" t="s">
        <v>123</v>
      </c>
      <c r="C33" s="27">
        <f t="shared" ref="C33:M33" si="14">IF(C9="","",C12/C7)</f>
        <v>0.03727494749</v>
      </c>
      <c r="D33" s="27">
        <f t="shared" si="14"/>
        <v>0.03117573453</v>
      </c>
      <c r="E33" s="27">
        <f t="shared" si="14"/>
        <v>0.06703901767</v>
      </c>
      <c r="F33" s="27">
        <f t="shared" si="14"/>
        <v>0.03615856693</v>
      </c>
      <c r="G33" s="27">
        <f t="shared" si="14"/>
        <v>0.09227253496</v>
      </c>
      <c r="H33" s="27" t="str">
        <f t="shared" si="14"/>
        <v/>
      </c>
      <c r="I33" s="27" t="str">
        <f t="shared" si="14"/>
        <v/>
      </c>
      <c r="J33" s="27" t="str">
        <f t="shared" si="14"/>
        <v/>
      </c>
      <c r="K33" s="27" t="str">
        <f t="shared" si="14"/>
        <v/>
      </c>
      <c r="L33" s="27" t="str">
        <f t="shared" si="14"/>
        <v/>
      </c>
      <c r="M33" s="27" t="str">
        <f t="shared" si="14"/>
        <v/>
      </c>
    </row>
    <row r="34" ht="15.75" customHeight="1">
      <c r="A34" s="31"/>
      <c r="B34" s="83" t="s">
        <v>124</v>
      </c>
      <c r="C34" s="91">
        <f t="shared" ref="C34:L34" si="15">IF(D20="","",C7/D24)</f>
        <v>1.250079983</v>
      </c>
      <c r="D34" s="91">
        <f t="shared" si="15"/>
        <v>1.181401123</v>
      </c>
      <c r="E34" s="91">
        <f t="shared" si="15"/>
        <v>1.597084514</v>
      </c>
      <c r="F34" s="91">
        <f t="shared" si="15"/>
        <v>1.390898829</v>
      </c>
      <c r="G34" s="91" t="str">
        <f t="shared" si="15"/>
        <v/>
      </c>
      <c r="H34" s="91" t="str">
        <f t="shared" si="15"/>
        <v/>
      </c>
      <c r="I34" s="91" t="str">
        <f t="shared" si="15"/>
        <v/>
      </c>
      <c r="J34" s="91" t="str">
        <f t="shared" si="15"/>
        <v/>
      </c>
      <c r="K34" s="91" t="str">
        <f t="shared" si="15"/>
        <v/>
      </c>
      <c r="L34" s="91" t="str">
        <f t="shared" si="15"/>
        <v/>
      </c>
      <c r="M34" s="92"/>
    </row>
    <row r="35" ht="15.75" customHeight="1">
      <c r="A35" s="31"/>
      <c r="B35" s="83" t="s">
        <v>125</v>
      </c>
      <c r="C35" s="27">
        <f t="shared" ref="C35:L35" si="16">IF(D20="","",C12/D24)</f>
        <v>0.0465966657</v>
      </c>
      <c r="D35" s="27">
        <f t="shared" si="16"/>
        <v>0.03683104779</v>
      </c>
      <c r="E35" s="27">
        <f t="shared" si="16"/>
        <v>0.1070669769</v>
      </c>
      <c r="F35" s="27">
        <f t="shared" si="16"/>
        <v>0.0502929084</v>
      </c>
      <c r="G35" s="27" t="str">
        <f t="shared" si="16"/>
        <v/>
      </c>
      <c r="H35" s="27" t="str">
        <f t="shared" si="16"/>
        <v/>
      </c>
      <c r="I35" s="27" t="str">
        <f t="shared" si="16"/>
        <v/>
      </c>
      <c r="J35" s="27" t="str">
        <f t="shared" si="16"/>
        <v/>
      </c>
      <c r="K35" s="27" t="str">
        <f t="shared" si="16"/>
        <v/>
      </c>
      <c r="L35" s="27" t="str">
        <f t="shared" si="16"/>
        <v/>
      </c>
      <c r="M35" s="92"/>
    </row>
    <row r="36" ht="15.75" customHeight="1">
      <c r="A36" s="31"/>
      <c r="B36" s="90" t="s">
        <v>126</v>
      </c>
    </row>
    <row r="37" ht="15.75" customHeight="1">
      <c r="A37" s="31"/>
      <c r="B37" s="83" t="s">
        <v>127</v>
      </c>
      <c r="C37" s="27">
        <f t="shared" ref="C37:M37" si="17">IF(C24="","",C18/C20)</f>
        <v>0.02497294412</v>
      </c>
      <c r="D37" s="27">
        <f t="shared" si="17"/>
        <v>0.01368666621</v>
      </c>
      <c r="E37" s="27">
        <f t="shared" si="17"/>
        <v>0.02205686886</v>
      </c>
      <c r="F37" s="27">
        <f t="shared" si="17"/>
        <v>0.01641988346</v>
      </c>
      <c r="G37" s="27">
        <f t="shared" si="17"/>
        <v>0.003458423462</v>
      </c>
      <c r="H37" s="27" t="str">
        <f t="shared" si="17"/>
        <v/>
      </c>
      <c r="I37" s="27" t="str">
        <f t="shared" si="17"/>
        <v/>
      </c>
      <c r="J37" s="27" t="str">
        <f t="shared" si="17"/>
        <v/>
      </c>
      <c r="K37" s="27" t="str">
        <f t="shared" si="17"/>
        <v/>
      </c>
      <c r="L37" s="27" t="str">
        <f t="shared" si="17"/>
        <v/>
      </c>
      <c r="M37" s="27" t="str">
        <f t="shared" si="17"/>
        <v/>
      </c>
    </row>
    <row r="38" ht="15.75" customHeight="1">
      <c r="A38" s="31"/>
      <c r="B38" s="83" t="s">
        <v>128</v>
      </c>
      <c r="C38" s="27">
        <f t="shared" ref="C38:M38" si="18">IF(C24="","",C19/C20)</f>
        <v>0.08288487292</v>
      </c>
      <c r="D38" s="27">
        <f t="shared" si="18"/>
        <v>0.04683692999</v>
      </c>
      <c r="E38" s="27">
        <f t="shared" si="18"/>
        <v>0.05972658442</v>
      </c>
      <c r="F38" s="27">
        <f t="shared" si="18"/>
        <v>0.02498601576</v>
      </c>
      <c r="G38" s="27">
        <f t="shared" si="18"/>
        <v>0.008991901001</v>
      </c>
      <c r="H38" s="27" t="str">
        <f t="shared" si="18"/>
        <v/>
      </c>
      <c r="I38" s="27" t="str">
        <f t="shared" si="18"/>
        <v/>
      </c>
      <c r="J38" s="27" t="str">
        <f t="shared" si="18"/>
        <v/>
      </c>
      <c r="K38" s="27" t="str">
        <f t="shared" si="18"/>
        <v/>
      </c>
      <c r="L38" s="27" t="str">
        <f t="shared" si="18"/>
        <v/>
      </c>
      <c r="M38" s="27" t="str">
        <f t="shared" si="18"/>
        <v/>
      </c>
    </row>
    <row r="39" ht="15.75" customHeight="1">
      <c r="A39" s="31"/>
      <c r="B39" s="83" t="s">
        <v>129</v>
      </c>
      <c r="C39" s="93">
        <f t="shared" ref="C39:M39" si="19">IF(C24="","",IF(C19&lt;=0,"-",C9/C19))</f>
        <v>0.4263824713</v>
      </c>
      <c r="D39" s="93">
        <f t="shared" si="19"/>
        <v>0.4846200241</v>
      </c>
      <c r="E39" s="93">
        <f t="shared" si="19"/>
        <v>1.046692767</v>
      </c>
      <c r="F39" s="93">
        <f t="shared" si="19"/>
        <v>1.225579761</v>
      </c>
      <c r="G39" s="93">
        <f t="shared" si="19"/>
        <v>8.967832168</v>
      </c>
      <c r="H39" s="93" t="str">
        <f t="shared" si="19"/>
        <v/>
      </c>
      <c r="I39" s="93" t="str">
        <f t="shared" si="19"/>
        <v/>
      </c>
      <c r="J39" s="93" t="str">
        <f t="shared" si="19"/>
        <v/>
      </c>
      <c r="K39" s="93" t="str">
        <f t="shared" si="19"/>
        <v/>
      </c>
      <c r="L39" s="93" t="str">
        <f t="shared" si="19"/>
        <v/>
      </c>
      <c r="M39" s="93" t="str">
        <f t="shared" si="19"/>
        <v/>
      </c>
    </row>
    <row r="40" ht="15.75" customHeight="1">
      <c r="A40" s="31"/>
      <c r="B40" s="83" t="s">
        <v>130</v>
      </c>
      <c r="C40" s="93">
        <f t="shared" ref="C40:M40" si="20">IF(C25="","",IF(C13&lt;=0,"-",C13/C12))</f>
        <v>0.07552538076</v>
      </c>
      <c r="D40" s="93">
        <f t="shared" si="20"/>
        <v>0.1216552582</v>
      </c>
      <c r="E40" s="93">
        <f t="shared" si="20"/>
        <v>0.0614615324</v>
      </c>
      <c r="F40" s="93">
        <f t="shared" si="20"/>
        <v>0.02989842726</v>
      </c>
      <c r="G40" s="93">
        <f t="shared" si="20"/>
        <v>0.0392077355</v>
      </c>
      <c r="H40" s="93" t="str">
        <f t="shared" si="20"/>
        <v/>
      </c>
      <c r="I40" s="93" t="str">
        <f t="shared" si="20"/>
        <v/>
      </c>
      <c r="J40" s="93" t="str">
        <f t="shared" si="20"/>
        <v/>
      </c>
      <c r="K40" s="93" t="str">
        <f t="shared" si="20"/>
        <v/>
      </c>
      <c r="L40" s="93" t="str">
        <f t="shared" si="20"/>
        <v/>
      </c>
      <c r="M40" s="93" t="str">
        <f t="shared" si="20"/>
        <v/>
      </c>
    </row>
    <row r="41" ht="15.75" customHeight="1">
      <c r="A41" s="31"/>
      <c r="B41" s="83" t="s">
        <v>131</v>
      </c>
      <c r="C41" s="91">
        <f t="shared" ref="C41:M41" si="21">IF(C24="","",C15/C16)</f>
        <v>3.076484472</v>
      </c>
      <c r="D41" s="91">
        <f t="shared" si="21"/>
        <v>4.302882495</v>
      </c>
      <c r="E41" s="91">
        <f t="shared" si="21"/>
        <v>3.604104987</v>
      </c>
      <c r="F41" s="91">
        <f t="shared" si="21"/>
        <v>3.393936877</v>
      </c>
      <c r="G41" s="91">
        <f t="shared" si="21"/>
        <v>4.065143869</v>
      </c>
      <c r="H41" s="91" t="str">
        <f t="shared" si="21"/>
        <v/>
      </c>
      <c r="I41" s="91" t="str">
        <f t="shared" si="21"/>
        <v/>
      </c>
      <c r="J41" s="91" t="str">
        <f t="shared" si="21"/>
        <v/>
      </c>
      <c r="K41" s="91" t="str">
        <f t="shared" si="21"/>
        <v/>
      </c>
      <c r="L41" s="91" t="str">
        <f t="shared" si="21"/>
        <v/>
      </c>
      <c r="M41" s="91" t="str">
        <f t="shared" si="21"/>
        <v/>
      </c>
    </row>
    <row r="42" ht="15.75" customHeight="1">
      <c r="A42" s="31"/>
    </row>
    <row r="43" ht="15.75" customHeight="1">
      <c r="A43" s="31"/>
      <c r="B43" s="2" t="s">
        <v>132</v>
      </c>
      <c r="C43" s="94"/>
      <c r="D43" s="94"/>
      <c r="E43" s="94"/>
      <c r="F43" s="94"/>
    </row>
    <row r="44" ht="15.75" customHeight="1">
      <c r="A44" s="31"/>
      <c r="B44" s="95" t="s">
        <v>133</v>
      </c>
      <c r="C44" s="95"/>
      <c r="F44" s="64"/>
    </row>
    <row r="45" ht="15.75" customHeight="1">
      <c r="A45" s="31"/>
      <c r="B45" s="64" t="s">
        <v>134</v>
      </c>
      <c r="D45" s="96">
        <f>Dashboard!G9</f>
        <v>0.035</v>
      </c>
      <c r="E45" s="33"/>
      <c r="I45" s="53"/>
    </row>
    <row r="46" ht="15.75" customHeight="1">
      <c r="A46" s="31"/>
      <c r="B46" s="64" t="s">
        <v>135</v>
      </c>
      <c r="C46" s="53"/>
      <c r="D46" s="97" t="s">
        <v>136</v>
      </c>
      <c r="E46" s="33"/>
      <c r="I46" s="98"/>
    </row>
    <row r="47" ht="15.75" customHeight="1">
      <c r="A47" s="31"/>
      <c r="D47" s="99"/>
      <c r="E47" s="4"/>
      <c r="I47" s="98"/>
    </row>
    <row r="48" ht="15.75" customHeight="1">
      <c r="A48" s="31"/>
      <c r="B48" s="64" t="s">
        <v>137</v>
      </c>
      <c r="D48" s="100">
        <f>C9</f>
        <v>14303</v>
      </c>
      <c r="E48" s="33"/>
      <c r="F48" s="101" t="str">
        <f>IF(D$46="No Adjustment","✓","")</f>
        <v>✓</v>
      </c>
      <c r="I48" s="98"/>
    </row>
    <row r="49" ht="15.75" customHeight="1">
      <c r="A49" s="31"/>
      <c r="B49" s="64" t="s">
        <v>138</v>
      </c>
      <c r="D49" s="100">
        <f>C24*AVERAGE(C35:L35)</f>
        <v>18248.14837</v>
      </c>
      <c r="E49" s="33"/>
      <c r="F49" s="101" t="str">
        <f>IF(D$46="Average pre-tax ROC","✓","")</f>
        <v/>
      </c>
      <c r="I49" s="98"/>
    </row>
    <row r="50" ht="15.75" customHeight="1">
      <c r="A50" s="31"/>
      <c r="B50" s="64" t="s">
        <v>139</v>
      </c>
      <c r="D50" s="102"/>
      <c r="E50" s="33"/>
      <c r="F50" s="101" t="str">
        <f>IF(D$46="Direct Input","✓","")</f>
        <v/>
      </c>
    </row>
    <row r="51" ht="15.75" customHeight="1">
      <c r="A51" s="31"/>
    </row>
    <row r="52" ht="15.75" customHeight="1">
      <c r="A52" s="31"/>
      <c r="B52" s="64" t="s">
        <v>140</v>
      </c>
      <c r="D52" s="103">
        <v>0.165</v>
      </c>
      <c r="E52" s="33"/>
    </row>
    <row r="53" ht="15.75" customHeight="1">
      <c r="A53" s="31"/>
    </row>
    <row r="54" ht="15.75" customHeight="1">
      <c r="A54" s="31"/>
      <c r="B54" s="95" t="s">
        <v>141</v>
      </c>
      <c r="C54" s="95"/>
      <c r="D54" s="1"/>
      <c r="F54" s="64"/>
    </row>
    <row r="55" ht="15.75" customHeight="1">
      <c r="A55" s="31"/>
      <c r="B55" s="64" t="s">
        <v>142</v>
      </c>
      <c r="D55" s="104">
        <f>C19</f>
        <v>33545</v>
      </c>
      <c r="E55" s="33"/>
      <c r="F55" s="64" t="s">
        <v>143</v>
      </c>
    </row>
    <row r="56" ht="15.75" customHeight="1">
      <c r="A56" s="31"/>
      <c r="B56" s="64" t="s">
        <v>144</v>
      </c>
      <c r="D56" s="102">
        <v>0.0</v>
      </c>
      <c r="E56" s="33"/>
      <c r="F56" s="1" t="s">
        <v>145</v>
      </c>
    </row>
    <row r="57" ht="15.75" customHeight="1">
      <c r="A57" s="31"/>
      <c r="D57" s="1"/>
    </row>
    <row r="58" ht="15.75" customHeight="1">
      <c r="A58" s="31"/>
      <c r="B58" s="105" t="s">
        <v>146</v>
      </c>
      <c r="C58" s="95"/>
      <c r="D58" s="1"/>
    </row>
    <row r="59" ht="15.75" customHeight="1">
      <c r="A59" s="31"/>
      <c r="B59" s="64" t="s">
        <v>147</v>
      </c>
      <c r="D59" s="97" t="s">
        <v>148</v>
      </c>
      <c r="E59" s="33"/>
      <c r="F59" s="106">
        <f>IF(D59="BV of the MI",D61,IF(D59="P/E Approach",#REF!,IF(D59="Direct Input",D63,D62)))</f>
        <v>0</v>
      </c>
    </row>
    <row r="60" ht="15.75" customHeight="1">
      <c r="A60" s="31"/>
      <c r="D60" s="1"/>
    </row>
    <row r="61" ht="15.75" customHeight="1">
      <c r="A61" s="31"/>
      <c r="B61" s="64" t="s">
        <v>149</v>
      </c>
      <c r="D61" s="100">
        <f>C21</f>
        <v>0</v>
      </c>
      <c r="E61" s="33"/>
    </row>
    <row r="62" ht="15.75" customHeight="1">
      <c r="A62" s="31"/>
      <c r="B62" s="64" t="s">
        <v>150</v>
      </c>
      <c r="D62" s="100">
        <f>D61*Dashboard!C11</f>
        <v>0</v>
      </c>
      <c r="E62" s="33"/>
    </row>
    <row r="63" ht="15.75" customHeight="1">
      <c r="A63" s="31"/>
      <c r="B63" s="64" t="s">
        <v>139</v>
      </c>
      <c r="D63" s="102"/>
      <c r="E63" s="33"/>
    </row>
    <row r="64" ht="15.75" customHeight="1">
      <c r="A64" s="31"/>
      <c r="D64" s="1"/>
    </row>
    <row r="65" ht="15.75" customHeight="1">
      <c r="A65" s="31"/>
      <c r="B65" s="95" t="s">
        <v>151</v>
      </c>
      <c r="C65" s="95"/>
      <c r="D65" s="1"/>
    </row>
    <row r="66" ht="15.0" customHeight="1">
      <c r="A66" s="31"/>
      <c r="B66" s="64" t="s">
        <v>152</v>
      </c>
      <c r="C66" s="1"/>
      <c r="D66" s="97" t="s">
        <v>153</v>
      </c>
      <c r="E66" s="33"/>
    </row>
    <row r="67" ht="15.0" customHeight="1">
      <c r="A67" s="31"/>
      <c r="B67" s="64"/>
      <c r="C67" s="1"/>
      <c r="D67" s="53"/>
      <c r="E67" s="53"/>
    </row>
    <row r="68" ht="15.75" customHeight="1">
      <c r="A68" s="99"/>
      <c r="B68" s="64" t="s">
        <v>154</v>
      </c>
      <c r="C68" s="1"/>
      <c r="D68" s="107">
        <v>5.0</v>
      </c>
      <c r="F68" s="108"/>
    </row>
    <row r="69" ht="15.75" customHeight="1">
      <c r="A69" s="99"/>
      <c r="B69" s="109" t="s">
        <v>155</v>
      </c>
      <c r="C69" s="109" t="s">
        <v>156</v>
      </c>
      <c r="D69" s="109" t="s">
        <v>157</v>
      </c>
      <c r="F69" s="110" t="s">
        <v>158</v>
      </c>
    </row>
    <row r="70" ht="15.75" customHeight="1">
      <c r="A70" s="99"/>
      <c r="B70" s="111" t="str">
        <f>C6</f>
        <v>FY 2021</v>
      </c>
      <c r="C70" s="112"/>
      <c r="D70" s="111">
        <f>1</f>
        <v>1</v>
      </c>
      <c r="E70" s="113">
        <f t="shared" ref="E70:E80" si="22">C70*D70</f>
        <v>0</v>
      </c>
      <c r="F70" s="114">
        <v>0.0</v>
      </c>
    </row>
    <row r="71" ht="15.75" customHeight="1">
      <c r="A71" s="99"/>
      <c r="B71" s="113">
        <f>IF(D7="","",-1)</f>
        <v>-1</v>
      </c>
      <c r="C71" s="112"/>
      <c r="D71" s="111">
        <f t="shared" ref="D71:D80" si="23">IF(B71&lt;0,(D$68+B71)/D$68,0)</f>
        <v>0.8</v>
      </c>
      <c r="E71" s="113">
        <f t="shared" si="22"/>
        <v>0</v>
      </c>
      <c r="F71" s="114">
        <f t="shared" ref="F71:F80" si="24">IF(B71&lt;0,C71/$D$68,0)</f>
        <v>0</v>
      </c>
    </row>
    <row r="72" ht="15.75" customHeight="1">
      <c r="A72" s="99"/>
      <c r="B72" s="113">
        <f t="shared" ref="B72:B80" si="25">IF((0-B71)&lt;$D$68,IF(B71&gt;-1, ,B71-1), )</f>
        <v>-2</v>
      </c>
      <c r="C72" s="112"/>
      <c r="D72" s="111">
        <f t="shared" si="23"/>
        <v>0.6</v>
      </c>
      <c r="E72" s="113">
        <f t="shared" si="22"/>
        <v>0</v>
      </c>
      <c r="F72" s="114">
        <f t="shared" si="24"/>
        <v>0</v>
      </c>
    </row>
    <row r="73" ht="15.75" customHeight="1">
      <c r="A73" s="99"/>
      <c r="B73" s="113">
        <f t="shared" si="25"/>
        <v>-3</v>
      </c>
      <c r="C73" s="112"/>
      <c r="D73" s="111">
        <f t="shared" si="23"/>
        <v>0.4</v>
      </c>
      <c r="E73" s="113">
        <f t="shared" si="22"/>
        <v>0</v>
      </c>
      <c r="F73" s="114">
        <f t="shared" si="24"/>
        <v>0</v>
      </c>
    </row>
    <row r="74" ht="15.75" customHeight="1">
      <c r="A74" s="99"/>
      <c r="B74" s="113">
        <f t="shared" si="25"/>
        <v>-4</v>
      </c>
      <c r="C74" s="112"/>
      <c r="D74" s="111">
        <f t="shared" si="23"/>
        <v>0.2</v>
      </c>
      <c r="E74" s="113">
        <f t="shared" si="22"/>
        <v>0</v>
      </c>
      <c r="F74" s="114">
        <f t="shared" si="24"/>
        <v>0</v>
      </c>
    </row>
    <row r="75" ht="15.75" customHeight="1">
      <c r="A75" s="99"/>
      <c r="B75" s="113">
        <f t="shared" si="25"/>
        <v>-5</v>
      </c>
      <c r="C75" s="112"/>
      <c r="D75" s="111">
        <f t="shared" si="23"/>
        <v>0</v>
      </c>
      <c r="E75" s="113">
        <f t="shared" si="22"/>
        <v>0</v>
      </c>
      <c r="F75" s="114">
        <f t="shared" si="24"/>
        <v>0</v>
      </c>
    </row>
    <row r="76" ht="15.75" customHeight="1">
      <c r="A76" s="99"/>
      <c r="B76" s="113" t="str">
        <f t="shared" si="25"/>
        <v/>
      </c>
      <c r="C76" s="112"/>
      <c r="D76" s="111">
        <f t="shared" si="23"/>
        <v>0</v>
      </c>
      <c r="E76" s="113">
        <f t="shared" si="22"/>
        <v>0</v>
      </c>
      <c r="F76" s="114">
        <f t="shared" si="24"/>
        <v>0</v>
      </c>
    </row>
    <row r="77" ht="15.75" customHeight="1">
      <c r="A77" s="99"/>
      <c r="B77" s="113" t="str">
        <f t="shared" si="25"/>
        <v/>
      </c>
      <c r="C77" s="112"/>
      <c r="D77" s="111">
        <f t="shared" si="23"/>
        <v>0</v>
      </c>
      <c r="E77" s="113">
        <f t="shared" si="22"/>
        <v>0</v>
      </c>
      <c r="F77" s="114">
        <f t="shared" si="24"/>
        <v>0</v>
      </c>
    </row>
    <row r="78" ht="15.75" customHeight="1">
      <c r="A78" s="99"/>
      <c r="B78" s="113" t="str">
        <f t="shared" si="25"/>
        <v/>
      </c>
      <c r="C78" s="112"/>
      <c r="D78" s="111">
        <f t="shared" si="23"/>
        <v>0</v>
      </c>
      <c r="E78" s="113">
        <f t="shared" si="22"/>
        <v>0</v>
      </c>
      <c r="F78" s="114">
        <f t="shared" si="24"/>
        <v>0</v>
      </c>
    </row>
    <row r="79" ht="15.75" customHeight="1">
      <c r="A79" s="99"/>
      <c r="B79" s="113" t="str">
        <f t="shared" si="25"/>
        <v/>
      </c>
      <c r="C79" s="112"/>
      <c r="D79" s="111">
        <f t="shared" si="23"/>
        <v>0</v>
      </c>
      <c r="E79" s="113">
        <f t="shared" si="22"/>
        <v>0</v>
      </c>
      <c r="F79" s="114">
        <f t="shared" si="24"/>
        <v>0</v>
      </c>
    </row>
    <row r="80" ht="15.75" customHeight="1">
      <c r="A80" s="99"/>
      <c r="B80" s="113" t="str">
        <f t="shared" si="25"/>
        <v/>
      </c>
      <c r="C80" s="112"/>
      <c r="D80" s="111">
        <f t="shared" si="23"/>
        <v>0</v>
      </c>
      <c r="E80" s="113">
        <f t="shared" si="22"/>
        <v>0</v>
      </c>
      <c r="F80" s="114">
        <f t="shared" si="24"/>
        <v>0</v>
      </c>
    </row>
    <row r="81" ht="15.75" customHeight="1">
      <c r="A81" s="99"/>
      <c r="B81" s="115" t="s">
        <v>159</v>
      </c>
      <c r="C81" s="115"/>
      <c r="D81" s="115"/>
      <c r="E81" s="113">
        <f>SUM(E70:E80)</f>
        <v>0</v>
      </c>
      <c r="F81" s="115"/>
    </row>
    <row r="82" ht="15.75" customHeight="1">
      <c r="A82" s="99"/>
      <c r="B82" s="115" t="s">
        <v>160</v>
      </c>
      <c r="C82" s="115"/>
      <c r="D82" s="115"/>
      <c r="E82" s="108"/>
      <c r="F82" s="114">
        <f>SUM(F71:F80)</f>
        <v>0</v>
      </c>
    </row>
    <row r="83" ht="15.75" customHeight="1">
      <c r="A83" s="99"/>
      <c r="B83" s="108"/>
      <c r="C83" s="108"/>
      <c r="D83" s="108"/>
      <c r="E83" s="108"/>
      <c r="F83" s="108"/>
    </row>
    <row r="84" ht="15.75" customHeight="1">
      <c r="A84" s="99"/>
      <c r="B84" s="116"/>
      <c r="C84" s="117" t="s">
        <v>161</v>
      </c>
      <c r="D84" s="117" t="s">
        <v>162</v>
      </c>
      <c r="E84" s="118" t="s">
        <v>163</v>
      </c>
      <c r="F84" s="118" t="s">
        <v>164</v>
      </c>
    </row>
    <row r="85" ht="15.75" customHeight="1">
      <c r="A85" s="99"/>
      <c r="B85" s="119" t="s">
        <v>165</v>
      </c>
      <c r="C85" s="120">
        <f>IF(D46="No Adjustment",D48,IF(D46="Direct Input",D50,D49))</f>
        <v>14303</v>
      </c>
      <c r="D85" s="120">
        <f>C85+C70-F82</f>
        <v>14303</v>
      </c>
      <c r="E85" s="121" t="s">
        <v>166</v>
      </c>
      <c r="F85" s="121" t="s">
        <v>167</v>
      </c>
    </row>
    <row r="86" ht="15.75" customHeight="1">
      <c r="A86" s="99"/>
      <c r="B86" s="119" t="s">
        <v>168</v>
      </c>
      <c r="C86" s="122">
        <f t="shared" ref="C86:D86" si="26">C85/$C$7</f>
        <v>0.04464065567</v>
      </c>
      <c r="D86" s="122">
        <f t="shared" si="26"/>
        <v>0.04464065567</v>
      </c>
      <c r="E86" s="121" t="s">
        <v>169</v>
      </c>
      <c r="F86" s="121" t="s">
        <v>170</v>
      </c>
    </row>
    <row r="87" ht="15.75" customHeight="1">
      <c r="A87" s="99"/>
      <c r="B87" s="119" t="s">
        <v>103</v>
      </c>
      <c r="C87" s="120">
        <f>C12</f>
        <v>11943.005</v>
      </c>
      <c r="D87" s="120">
        <f>C87+C70-F82</f>
        <v>11943.005</v>
      </c>
      <c r="E87" s="121" t="s">
        <v>171</v>
      </c>
      <c r="F87" s="121" t="s">
        <v>172</v>
      </c>
    </row>
    <row r="88" ht="15.75" customHeight="1">
      <c r="A88" s="99"/>
      <c r="B88" s="119" t="s">
        <v>173</v>
      </c>
      <c r="C88" s="120">
        <f>F4</f>
        <v>11936</v>
      </c>
      <c r="D88" s="120">
        <f>C88+C70-F82</f>
        <v>11936</v>
      </c>
      <c r="E88" s="121" t="s">
        <v>174</v>
      </c>
      <c r="F88" s="121" t="s">
        <v>175</v>
      </c>
    </row>
    <row r="89" ht="15.75" customHeight="1">
      <c r="A89" s="99"/>
      <c r="B89" s="119" t="s">
        <v>176</v>
      </c>
      <c r="C89" s="120">
        <f>C24</f>
        <v>303141</v>
      </c>
      <c r="D89" s="120">
        <f>C89+E81</f>
        <v>303141</v>
      </c>
      <c r="E89" s="121" t="s">
        <v>177</v>
      </c>
      <c r="F89" s="121" t="s">
        <v>175</v>
      </c>
    </row>
    <row r="90" ht="15.75" customHeight="1">
      <c r="A90" s="99"/>
      <c r="B90" s="119" t="s">
        <v>178</v>
      </c>
      <c r="C90" s="122">
        <f t="shared" ref="C90:D90" si="27">C87/C89</f>
        <v>0.03939752458</v>
      </c>
      <c r="D90" s="122">
        <f t="shared" si="27"/>
        <v>0.03939752458</v>
      </c>
      <c r="E90" s="121" t="s">
        <v>179</v>
      </c>
      <c r="F90" s="121" t="s">
        <v>175</v>
      </c>
    </row>
    <row r="91" ht="15.75" customHeight="1">
      <c r="A91" s="31"/>
      <c r="B91" s="119"/>
      <c r="C91" s="123"/>
      <c r="D91" s="123"/>
    </row>
    <row r="92" ht="15.75" customHeight="1">
      <c r="A92" s="31"/>
      <c r="B92" s="119"/>
      <c r="C92" s="123"/>
      <c r="D92" s="123"/>
    </row>
    <row r="93" ht="15.75" customHeight="1">
      <c r="A93" s="31"/>
      <c r="B93" s="119"/>
      <c r="C93" s="123"/>
      <c r="D93" s="123"/>
    </row>
    <row r="94" ht="15.75" customHeight="1">
      <c r="A94" s="31"/>
      <c r="B94" s="119"/>
      <c r="C94" s="98"/>
      <c r="D94" s="98"/>
    </row>
    <row r="95" ht="15.75" customHeight="1">
      <c r="A95" s="31"/>
      <c r="B95" s="119"/>
      <c r="C95" s="123"/>
      <c r="D95" s="123"/>
    </row>
    <row r="96" ht="15.75" customHeight="1">
      <c r="A96" s="31"/>
      <c r="B96" s="119"/>
      <c r="C96" s="98"/>
      <c r="D96" s="98"/>
    </row>
    <row r="97" ht="15.75" customHeight="1">
      <c r="A97" s="31"/>
    </row>
    <row r="98" ht="15.75" customHeight="1">
      <c r="A98" s="31"/>
    </row>
    <row r="99" ht="15.75" customHeight="1">
      <c r="A99" s="31"/>
    </row>
    <row r="100" ht="15.75" customHeight="1">
      <c r="A100" s="31"/>
    </row>
    <row r="101" ht="15.75" customHeight="1">
      <c r="A101" s="31"/>
    </row>
    <row r="102" ht="15.75" customHeight="1">
      <c r="A102" s="31"/>
    </row>
    <row r="103" ht="15.75" customHeight="1">
      <c r="A103" s="31"/>
    </row>
    <row r="104" ht="15.75" customHeight="1">
      <c r="A104" s="31"/>
    </row>
    <row r="105" ht="15.75" customHeight="1">
      <c r="A105" s="31"/>
    </row>
    <row r="106" ht="15.75" customHeight="1">
      <c r="A106" s="31"/>
    </row>
    <row r="107" ht="15.75" customHeight="1">
      <c r="A107" s="31"/>
    </row>
    <row r="108" ht="15.75" customHeight="1">
      <c r="A108" s="31"/>
    </row>
    <row r="109" ht="15.75" customHeight="1">
      <c r="A109" s="31"/>
    </row>
    <row r="110" ht="15.75" customHeight="1">
      <c r="A110" s="31"/>
    </row>
    <row r="111" ht="15.75" customHeight="1">
      <c r="A111" s="31"/>
    </row>
    <row r="112" ht="15.75" customHeight="1">
      <c r="A112" s="31"/>
    </row>
    <row r="113" ht="15.75" customHeight="1">
      <c r="A113" s="31"/>
    </row>
    <row r="114" ht="15.75" customHeight="1">
      <c r="A114" s="31"/>
    </row>
    <row r="115" ht="15.75" customHeight="1">
      <c r="A115" s="31"/>
    </row>
    <row r="116" ht="15.75" customHeight="1">
      <c r="A116" s="31"/>
    </row>
    <row r="117" ht="15.75" customHeight="1">
      <c r="A117" s="31"/>
    </row>
    <row r="118" ht="15.75" customHeight="1">
      <c r="A118" s="31"/>
    </row>
    <row r="119" ht="15.75" customHeight="1">
      <c r="A119" s="31"/>
    </row>
    <row r="120" ht="15.75" customHeight="1">
      <c r="A120" s="31"/>
    </row>
    <row r="121" ht="15.75" customHeight="1">
      <c r="A121" s="31"/>
    </row>
    <row r="122" ht="15.75" customHeight="1">
      <c r="A122" s="31"/>
    </row>
    <row r="123" ht="15.75" customHeight="1">
      <c r="A123" s="31"/>
    </row>
    <row r="124" ht="15.75" customHeight="1">
      <c r="A124" s="31"/>
    </row>
    <row r="125" ht="15.75" customHeight="1">
      <c r="A125" s="31"/>
    </row>
    <row r="126" ht="15.75" customHeight="1">
      <c r="A126" s="31"/>
    </row>
    <row r="127" ht="15.75" customHeight="1">
      <c r="A127" s="31"/>
    </row>
    <row r="128" ht="15.75" customHeight="1">
      <c r="A128" s="31"/>
    </row>
    <row r="129" ht="15.75" customHeight="1">
      <c r="A129" s="31"/>
    </row>
    <row r="130" ht="15.75" customHeight="1">
      <c r="A130" s="31"/>
    </row>
    <row r="131" ht="15.75" customHeight="1">
      <c r="A131" s="31"/>
    </row>
    <row r="132" ht="15.75" customHeight="1">
      <c r="A132" s="31"/>
    </row>
    <row r="133" ht="15.75" customHeight="1">
      <c r="A133" s="31"/>
    </row>
    <row r="134" ht="15.75" customHeight="1">
      <c r="A134" s="31"/>
    </row>
    <row r="135" ht="15.75" customHeight="1">
      <c r="A135" s="31"/>
    </row>
    <row r="136" ht="15.75" customHeight="1">
      <c r="A136" s="31"/>
    </row>
    <row r="137" ht="15.75" customHeight="1">
      <c r="A137" s="31"/>
    </row>
    <row r="138" ht="15.75" customHeight="1">
      <c r="A138" s="31"/>
    </row>
    <row r="139" ht="15.75" customHeight="1">
      <c r="A139" s="31"/>
    </row>
    <row r="140" ht="15.75" customHeight="1">
      <c r="A140" s="31"/>
    </row>
    <row r="141" ht="15.75" customHeight="1">
      <c r="A141" s="31"/>
    </row>
    <row r="142" ht="15.75" customHeight="1">
      <c r="A142" s="31"/>
    </row>
    <row r="143" ht="15.75" customHeight="1">
      <c r="A143" s="31"/>
    </row>
    <row r="144" ht="15.75" customHeight="1">
      <c r="A144" s="31"/>
    </row>
    <row r="145" ht="15.75" customHeight="1">
      <c r="A145" s="31"/>
    </row>
    <row r="146" ht="15.75" customHeight="1">
      <c r="A146" s="31"/>
    </row>
    <row r="147" ht="15.75" customHeight="1">
      <c r="A147" s="31"/>
    </row>
    <row r="148" ht="15.75" customHeight="1">
      <c r="A148" s="31"/>
    </row>
    <row r="149" ht="15.75" customHeight="1">
      <c r="A149" s="31"/>
    </row>
    <row r="150" ht="15.75" customHeight="1">
      <c r="A150" s="31"/>
    </row>
    <row r="151" ht="15.75" customHeight="1">
      <c r="A151" s="31"/>
    </row>
    <row r="152" ht="15.75" customHeight="1">
      <c r="A152" s="31"/>
    </row>
    <row r="153" ht="15.75" customHeight="1">
      <c r="A153" s="31"/>
    </row>
    <row r="154" ht="15.75" customHeight="1">
      <c r="A154" s="31"/>
    </row>
    <row r="155" ht="15.75" customHeight="1">
      <c r="A155" s="31"/>
    </row>
    <row r="156" ht="15.75" customHeight="1">
      <c r="A156" s="31"/>
    </row>
    <row r="157" ht="15.75" customHeight="1">
      <c r="A157" s="31"/>
    </row>
    <row r="158" ht="15.75" customHeight="1">
      <c r="A158" s="31"/>
    </row>
    <row r="159" ht="15.75" customHeight="1">
      <c r="A159" s="31"/>
    </row>
    <row r="160" ht="15.75" customHeight="1">
      <c r="A160" s="31"/>
    </row>
    <row r="161" ht="15.75" customHeight="1">
      <c r="A161" s="31"/>
    </row>
    <row r="162" ht="15.75" customHeight="1">
      <c r="A162" s="31"/>
    </row>
    <row r="163" ht="15.75" customHeight="1">
      <c r="A163" s="31"/>
    </row>
    <row r="164" ht="15.75" customHeight="1">
      <c r="A164" s="31"/>
    </row>
    <row r="165" ht="15.75" customHeight="1">
      <c r="A165" s="31"/>
    </row>
    <row r="166" ht="15.75" customHeight="1">
      <c r="A166" s="31"/>
    </row>
    <row r="167" ht="15.75" customHeight="1">
      <c r="A167" s="31"/>
    </row>
    <row r="168" ht="15.75" customHeight="1">
      <c r="A168" s="31"/>
    </row>
    <row r="169" ht="15.75" customHeight="1">
      <c r="A169" s="31"/>
    </row>
    <row r="170" ht="15.75" customHeight="1">
      <c r="A170" s="31"/>
    </row>
    <row r="171" ht="15.75" customHeight="1">
      <c r="A171" s="31"/>
    </row>
    <row r="172" ht="15.75" customHeight="1">
      <c r="A172" s="31"/>
    </row>
    <row r="173" ht="15.75" customHeight="1">
      <c r="A173" s="31"/>
    </row>
    <row r="174" ht="15.75" customHeight="1">
      <c r="A174" s="31"/>
    </row>
    <row r="175" ht="15.75" customHeight="1">
      <c r="A175" s="31"/>
    </row>
    <row r="176" ht="15.75" customHeight="1">
      <c r="A176" s="31"/>
    </row>
    <row r="177" ht="15.75" customHeight="1">
      <c r="A177" s="31"/>
    </row>
    <row r="178" ht="15.75" customHeight="1">
      <c r="A178" s="31"/>
    </row>
    <row r="179" ht="15.75" customHeight="1">
      <c r="A179" s="31"/>
    </row>
    <row r="180" ht="15.75" customHeight="1">
      <c r="A180" s="31"/>
    </row>
    <row r="181" ht="15.75" customHeight="1">
      <c r="A181" s="31"/>
    </row>
    <row r="182" ht="15.75" customHeight="1">
      <c r="A182" s="31"/>
    </row>
    <row r="183" ht="15.75" customHeight="1">
      <c r="A183" s="31"/>
    </row>
    <row r="184" ht="15.75" customHeight="1">
      <c r="A184" s="31"/>
    </row>
    <row r="185" ht="15.75" customHeight="1">
      <c r="A185" s="31"/>
    </row>
    <row r="186" ht="15.75" customHeight="1">
      <c r="A186" s="31"/>
    </row>
    <row r="187" ht="15.75" customHeight="1">
      <c r="A187" s="31"/>
    </row>
    <row r="188" ht="15.75" customHeight="1">
      <c r="A188" s="31"/>
    </row>
    <row r="189" ht="15.75" customHeight="1">
      <c r="A189" s="31"/>
    </row>
    <row r="190" ht="15.75" customHeight="1">
      <c r="A190" s="31"/>
    </row>
    <row r="191" ht="15.75" customHeight="1">
      <c r="A191" s="31"/>
    </row>
    <row r="192" ht="15.75" customHeight="1">
      <c r="A192" s="31"/>
    </row>
    <row r="193" ht="15.75" customHeight="1">
      <c r="A193" s="31"/>
    </row>
    <row r="194" ht="15.75" customHeight="1">
      <c r="A194" s="31"/>
    </row>
    <row r="195" ht="15.75" customHeight="1">
      <c r="A195" s="31"/>
    </row>
    <row r="196" ht="15.75" customHeight="1">
      <c r="A196" s="31"/>
    </row>
    <row r="197" ht="15.75" customHeight="1">
      <c r="A197" s="31"/>
    </row>
    <row r="198" ht="15.75" customHeight="1">
      <c r="A198" s="31"/>
    </row>
    <row r="199" ht="15.75" customHeight="1">
      <c r="A199" s="31"/>
    </row>
    <row r="200" ht="15.75" customHeight="1">
      <c r="A200" s="31"/>
    </row>
    <row r="201" ht="15.75" customHeight="1">
      <c r="A201" s="31"/>
    </row>
    <row r="202" ht="15.75" customHeight="1">
      <c r="A202" s="31"/>
    </row>
    <row r="203" ht="15.75" customHeight="1">
      <c r="A203" s="31"/>
    </row>
    <row r="204" ht="15.75" customHeight="1">
      <c r="A204" s="31"/>
    </row>
    <row r="205" ht="15.75" customHeight="1">
      <c r="A205" s="31"/>
    </row>
    <row r="206" ht="15.75" customHeight="1">
      <c r="A206" s="31"/>
    </row>
    <row r="207" ht="15.75" customHeight="1">
      <c r="A207" s="31"/>
    </row>
    <row r="208" ht="15.75" customHeight="1">
      <c r="A208" s="31"/>
    </row>
    <row r="209" ht="15.75" customHeight="1">
      <c r="A209" s="31"/>
    </row>
    <row r="210" ht="15.75" customHeight="1">
      <c r="A210" s="31"/>
    </row>
    <row r="211" ht="15.75" customHeight="1">
      <c r="A211" s="31"/>
    </row>
    <row r="212" ht="15.75" customHeight="1">
      <c r="A212" s="31"/>
    </row>
    <row r="213" ht="15.75" customHeight="1">
      <c r="A213" s="31"/>
    </row>
    <row r="214" ht="15.75" customHeight="1">
      <c r="A214" s="31"/>
    </row>
    <row r="215" ht="15.75" customHeight="1">
      <c r="A215" s="31"/>
    </row>
    <row r="216" ht="15.75" customHeight="1">
      <c r="A216" s="31"/>
    </row>
    <row r="217" ht="15.75" customHeight="1">
      <c r="A217" s="31"/>
    </row>
    <row r="218" ht="15.75" customHeight="1">
      <c r="A218" s="31"/>
    </row>
    <row r="219" ht="15.75" customHeight="1">
      <c r="A219" s="31"/>
    </row>
    <row r="220" ht="15.75" customHeight="1">
      <c r="A220" s="31"/>
    </row>
    <row r="221" ht="15.75" customHeight="1">
      <c r="A221" s="31"/>
    </row>
    <row r="222" ht="15.75" customHeight="1">
      <c r="A222" s="31"/>
    </row>
    <row r="223" ht="15.75" customHeight="1">
      <c r="A223" s="31"/>
    </row>
    <row r="224" ht="15.75" customHeight="1">
      <c r="A224" s="31"/>
    </row>
    <row r="225" ht="15.75" customHeight="1">
      <c r="A225" s="31"/>
    </row>
    <row r="226" ht="15.75" customHeight="1">
      <c r="A226" s="31"/>
    </row>
    <row r="227" ht="15.75" customHeight="1">
      <c r="A227" s="31"/>
    </row>
    <row r="228" ht="15.75" customHeight="1">
      <c r="A228" s="31"/>
    </row>
    <row r="229" ht="15.75" customHeight="1">
      <c r="A229" s="31"/>
    </row>
    <row r="230" ht="15.75" customHeight="1">
      <c r="A230" s="31"/>
    </row>
    <row r="231" ht="15.75" customHeight="1">
      <c r="A231" s="31"/>
    </row>
    <row r="232" ht="15.75" customHeight="1">
      <c r="A232" s="31"/>
    </row>
    <row r="233" ht="15.75" customHeight="1">
      <c r="A233" s="31"/>
    </row>
    <row r="234" ht="15.75" customHeight="1">
      <c r="A234" s="31"/>
    </row>
    <row r="235" ht="15.75" customHeight="1">
      <c r="A235" s="31"/>
    </row>
    <row r="236" ht="15.75" customHeight="1">
      <c r="A236" s="31"/>
    </row>
    <row r="237" ht="15.75" customHeight="1">
      <c r="A237" s="31"/>
    </row>
    <row r="238" ht="15.75" customHeight="1">
      <c r="A238" s="31"/>
    </row>
    <row r="239" ht="15.75" customHeight="1">
      <c r="A239" s="31"/>
    </row>
    <row r="240" ht="15.75" customHeight="1">
      <c r="A240" s="31"/>
    </row>
    <row r="241" ht="15.75" customHeight="1">
      <c r="A241" s="31"/>
    </row>
    <row r="242" ht="15.75" customHeight="1">
      <c r="A242" s="31"/>
    </row>
    <row r="243" ht="15.75" customHeight="1">
      <c r="A243" s="31"/>
    </row>
    <row r="244" ht="15.75" customHeight="1">
      <c r="A244" s="31"/>
    </row>
    <row r="245" ht="15.75" customHeight="1">
      <c r="A245" s="31"/>
    </row>
    <row r="246" ht="15.75" customHeight="1">
      <c r="A246" s="31"/>
    </row>
    <row r="247" ht="15.75" customHeight="1">
      <c r="A247" s="31"/>
    </row>
    <row r="248" ht="15.75" customHeight="1">
      <c r="A248" s="31"/>
    </row>
    <row r="249" ht="15.75" customHeight="1">
      <c r="A249" s="31"/>
    </row>
    <row r="250" ht="15.75" customHeight="1">
      <c r="A250" s="31"/>
    </row>
    <row r="251" ht="15.75" customHeight="1">
      <c r="A251" s="31"/>
    </row>
    <row r="252" ht="15.75" customHeight="1">
      <c r="A252" s="31"/>
    </row>
    <row r="253" ht="15.75" customHeight="1">
      <c r="A253" s="31"/>
    </row>
    <row r="254" ht="15.75" customHeight="1">
      <c r="A254" s="31"/>
    </row>
    <row r="255" ht="15.75" customHeight="1">
      <c r="A255" s="31"/>
    </row>
    <row r="256" ht="15.75" customHeight="1">
      <c r="A256" s="31"/>
    </row>
    <row r="257" ht="15.75" customHeight="1">
      <c r="A257" s="31"/>
    </row>
    <row r="258" ht="15.75" customHeight="1">
      <c r="A258" s="31"/>
    </row>
    <row r="259" ht="15.75" customHeight="1">
      <c r="A259" s="31"/>
    </row>
    <row r="260" ht="15.75" customHeight="1">
      <c r="A260" s="31"/>
    </row>
    <row r="261" ht="15.75" customHeight="1">
      <c r="A261" s="31"/>
    </row>
    <row r="262" ht="15.75" customHeight="1">
      <c r="A262" s="31"/>
    </row>
    <row r="263" ht="15.75" customHeight="1">
      <c r="A263" s="31"/>
    </row>
    <row r="264" ht="15.75" customHeight="1">
      <c r="A264" s="31"/>
    </row>
    <row r="265" ht="15.75" customHeight="1">
      <c r="A265" s="31"/>
    </row>
    <row r="266" ht="15.75" customHeight="1">
      <c r="A266" s="31"/>
    </row>
    <row r="267" ht="15.75" customHeight="1">
      <c r="A267" s="31"/>
    </row>
    <row r="268" ht="15.75" customHeight="1">
      <c r="A268" s="31"/>
    </row>
    <row r="269" ht="15.75" customHeight="1">
      <c r="A269" s="31"/>
    </row>
    <row r="270" ht="15.75" customHeight="1">
      <c r="A270" s="31"/>
    </row>
    <row r="271" ht="15.75" customHeight="1">
      <c r="A271" s="31"/>
    </row>
    <row r="272" ht="15.75" customHeight="1">
      <c r="A272" s="31"/>
    </row>
    <row r="273" ht="15.75" customHeight="1">
      <c r="A273" s="31"/>
    </row>
    <row r="274" ht="15.75" customHeight="1">
      <c r="A274" s="31"/>
    </row>
    <row r="275" ht="15.75" customHeight="1">
      <c r="A275" s="31"/>
    </row>
    <row r="276" ht="15.75" customHeight="1">
      <c r="A276" s="31"/>
    </row>
    <row r="277" ht="15.75" customHeight="1">
      <c r="A277" s="31"/>
    </row>
    <row r="278" ht="15.75" customHeight="1">
      <c r="A278" s="31"/>
    </row>
    <row r="279" ht="15.75" customHeight="1">
      <c r="A279" s="31"/>
    </row>
    <row r="280" ht="15.75" customHeight="1">
      <c r="A280" s="31"/>
    </row>
    <row r="281" ht="15.75" customHeight="1">
      <c r="A281" s="31"/>
    </row>
    <row r="282" ht="15.75" customHeight="1">
      <c r="A282" s="31"/>
    </row>
    <row r="283" ht="15.75" customHeight="1">
      <c r="A283" s="31"/>
    </row>
    <row r="284" ht="15.75" customHeight="1">
      <c r="A284" s="31"/>
    </row>
    <row r="285" ht="15.75" customHeight="1">
      <c r="A285" s="31"/>
    </row>
    <row r="286" ht="15.75" customHeight="1">
      <c r="A286" s="31"/>
    </row>
    <row r="287" ht="15.75" customHeight="1">
      <c r="A287" s="31"/>
    </row>
    <row r="288" ht="15.75" customHeight="1">
      <c r="A288" s="31"/>
    </row>
    <row r="289" ht="15.75" customHeight="1">
      <c r="A289" s="31"/>
    </row>
    <row r="290" ht="15.75" customHeight="1">
      <c r="A290" s="31"/>
    </row>
    <row r="291" ht="15.75" customHeight="1">
      <c r="A291" s="31"/>
    </row>
    <row r="292" ht="15.75" customHeight="1">
      <c r="A292" s="31"/>
    </row>
    <row r="293" ht="15.75" customHeight="1">
      <c r="A293" s="31"/>
    </row>
    <row r="294" ht="15.75" customHeight="1">
      <c r="A294" s="31"/>
    </row>
    <row r="295" ht="15.75" customHeight="1">
      <c r="A295" s="31"/>
    </row>
    <row r="296" ht="15.75" customHeight="1">
      <c r="A296" s="31"/>
    </row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</sheetData>
  <mergeCells count="22">
    <mergeCell ref="D45:E45"/>
    <mergeCell ref="D46:E46"/>
    <mergeCell ref="D47:E47"/>
    <mergeCell ref="D48:E48"/>
    <mergeCell ref="D49:E49"/>
    <mergeCell ref="D50:E50"/>
    <mergeCell ref="D52:E52"/>
    <mergeCell ref="D61:E61"/>
    <mergeCell ref="D62:E62"/>
    <mergeCell ref="D63:E63"/>
    <mergeCell ref="D64:E64"/>
    <mergeCell ref="D65:E65"/>
    <mergeCell ref="D66:E66"/>
    <mergeCell ref="D68:E68"/>
    <mergeCell ref="D69:E69"/>
    <mergeCell ref="D54:E54"/>
    <mergeCell ref="D55:E55"/>
    <mergeCell ref="D56:E56"/>
    <mergeCell ref="D57:E57"/>
    <mergeCell ref="D58:E58"/>
    <mergeCell ref="D59:E59"/>
    <mergeCell ref="D60:E60"/>
  </mergeCells>
  <conditionalFormatting sqref="B68:F90">
    <cfRule type="expression" dxfId="1" priority="1">
      <formula>$D$66="No"</formula>
    </cfRule>
  </conditionalFormatting>
  <dataValidations>
    <dataValidation type="decimal" allowBlank="1" showDropDown="1" sqref="D68">
      <formula1>1.0</formula1>
      <formula2>10.0</formula2>
    </dataValidation>
    <dataValidation type="decimal" allowBlank="1" showDropDown="1" showErrorMessage="1" sqref="C3">
      <formula1>2000.0</formula1>
      <formula2>2100.0</formula2>
    </dataValidation>
    <dataValidation type="list" allowBlank="1" showErrorMessage="1" sqref="C4">
      <formula1>"H1,FY"</formula1>
    </dataValidation>
    <dataValidation type="list" allowBlank="1" sqref="D59">
      <formula1>"BV of the MI,P/B Approach"</formula1>
    </dataValidation>
    <dataValidation type="list" allowBlank="1" sqref="D66">
      <formula1>"Yes,No"</formula1>
    </dataValidation>
    <dataValidation type="list" allowBlank="1" sqref="D46">
      <formula1>"No Adjustment,Average pre-tax ROC,Direct Input"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2" max="2" width="26.88"/>
  </cols>
  <sheetData>
    <row r="2" ht="15.75" customHeight="1">
      <c r="B2" s="124" t="s">
        <v>180</v>
      </c>
      <c r="C2" s="4"/>
      <c r="D2" s="4"/>
    </row>
    <row r="3" ht="15.75" customHeight="1">
      <c r="B3" s="95" t="s">
        <v>181</v>
      </c>
      <c r="C3" s="125" t="s">
        <v>182</v>
      </c>
    </row>
    <row r="4" ht="15.75" customHeight="1">
      <c r="B4" s="126" t="s">
        <v>183</v>
      </c>
      <c r="E4" s="126"/>
      <c r="I4" s="126" t="s">
        <v>184</v>
      </c>
    </row>
    <row r="5" ht="15.75" customHeight="1">
      <c r="B5" s="64" t="s">
        <v>185</v>
      </c>
      <c r="C5" s="22">
        <f>Dashboard!G11</f>
        <v>0.075</v>
      </c>
      <c r="E5" s="64" t="s">
        <v>186</v>
      </c>
      <c r="G5" s="127">
        <f>Dashboard!D28</f>
        <v>4</v>
      </c>
      <c r="I5" s="64" t="s">
        <v>185</v>
      </c>
      <c r="K5" s="22">
        <f>Dashboard!G13</f>
        <v>0.1025</v>
      </c>
    </row>
    <row r="6" ht="15.75" customHeight="1">
      <c r="B6" s="1" t="s">
        <v>187</v>
      </c>
      <c r="C6" s="128">
        <f>(INDIRECT(ADDRESS(ROW(B12),'Conservative Value'!EXP_CAP+3))/C12)^(1/'Conservative Value'!EXP_CAP)-1</f>
        <v>0</v>
      </c>
      <c r="E6" s="64" t="s">
        <v>188</v>
      </c>
      <c r="G6" s="129">
        <f>_xlfn.FLOOR.MATH((G5/2))</f>
        <v>2</v>
      </c>
      <c r="I6" s="1" t="s">
        <v>189</v>
      </c>
      <c r="K6" s="128">
        <f>'Conservative Value'!Terminal_Wacc-'Conservative Value'!EXP_Wacc</f>
        <v>0.0275</v>
      </c>
    </row>
    <row r="7" ht="15.75" customHeight="1"/>
    <row r="8" ht="15.75" customHeight="1">
      <c r="B8" s="95" t="s">
        <v>190</v>
      </c>
      <c r="C8" s="64" t="s">
        <v>191</v>
      </c>
    </row>
    <row r="9" ht="15.75" customHeight="1">
      <c r="B9" s="130" t="str">
        <f>"(Numbers in "&amp;Data!F3&amp;Dashboard!C12&amp;")"</f>
        <v>(Numbers in 1000HKD)</v>
      </c>
      <c r="C9" s="131" t="str">
        <f>Data!C6</f>
        <v>FY 2021</v>
      </c>
      <c r="D9" s="131">
        <v>1.0</v>
      </c>
      <c r="E9" s="131">
        <v>2.0</v>
      </c>
      <c r="F9" s="131">
        <v>3.0</v>
      </c>
      <c r="G9" s="131">
        <v>4.0</v>
      </c>
      <c r="H9" s="131">
        <v>5.0</v>
      </c>
      <c r="I9" s="131">
        <v>6.0</v>
      </c>
      <c r="J9" s="131">
        <v>7.0</v>
      </c>
      <c r="K9" s="131">
        <v>8.0</v>
      </c>
      <c r="L9" s="131">
        <v>9.0</v>
      </c>
      <c r="M9" s="131">
        <v>10.0</v>
      </c>
      <c r="N9" s="131" t="s">
        <v>192</v>
      </c>
    </row>
    <row r="10" ht="15.75" customHeight="1">
      <c r="B10" s="132" t="s">
        <v>193</v>
      </c>
      <c r="C10" s="133">
        <f>IF(Data!D66="No",Data!C89,Data!D89)</f>
        <v>303141</v>
      </c>
      <c r="D10" s="134">
        <f>IF('Conservative Value'!ModelYear&gt;'Conservative Value'!EXP_CAP,"",C10+C17)</f>
        <v>303141</v>
      </c>
      <c r="E10" s="134">
        <f>IF('Conservative Value'!ModelYear&gt;'Conservative Value'!EXP_CAP,"",D10+D17)</f>
        <v>303141</v>
      </c>
      <c r="F10" s="134">
        <f>IF('Conservative Value'!ModelYear&gt;'Conservative Value'!EXP_CAP,"",E10+E17)</f>
        <v>303141</v>
      </c>
      <c r="G10" s="134">
        <f>IF('Conservative Value'!ModelYear&gt;'Conservative Value'!EXP_CAP,"",F10+F17)</f>
        <v>303141</v>
      </c>
      <c r="H10" s="134" t="str">
        <f>IF('Conservative Value'!ModelYear&gt;'Conservative Value'!EXP_CAP,"",G10+G17)</f>
        <v/>
      </c>
      <c r="I10" s="134" t="str">
        <f>IF('Conservative Value'!ModelYear&gt;'Conservative Value'!EXP_CAP,"",H10+H17)</f>
        <v/>
      </c>
      <c r="J10" s="134" t="str">
        <f>IF('Conservative Value'!ModelYear&gt;'Conservative Value'!EXP_CAP,"",I10+I17)</f>
        <v/>
      </c>
      <c r="K10" s="133" t="str">
        <f>IF('Conservative Value'!ModelYear&gt;'Conservative Value'!EXP_CAP,"",J10+J17)</f>
        <v/>
      </c>
      <c r="L10" s="133" t="str">
        <f>IF('Conservative Value'!ModelYear&gt;'Conservative Value'!EXP_CAP,"",K10+K17)</f>
        <v/>
      </c>
      <c r="M10" s="133" t="str">
        <f>IF('Conservative Value'!ModelYear&gt;'Conservative Value'!EXP_CAP,"",L10+L17)</f>
        <v/>
      </c>
      <c r="N10" s="53"/>
    </row>
    <row r="11" ht="15.75" customHeight="1">
      <c r="B11" s="135" t="s">
        <v>194</v>
      </c>
      <c r="C11" s="136"/>
      <c r="D11" s="137">
        <v>0.0</v>
      </c>
      <c r="E11" s="137">
        <v>0.0</v>
      </c>
      <c r="F11" s="137">
        <v>0.0</v>
      </c>
      <c r="G11" s="137">
        <v>0.0</v>
      </c>
      <c r="H11" s="137"/>
      <c r="I11" s="137"/>
      <c r="J11" s="138"/>
      <c r="K11" s="139"/>
      <c r="L11" s="139"/>
      <c r="M11" s="139"/>
      <c r="N11" s="140">
        <f>'Conservative Value'!Terminal_EbitGrowth</f>
        <v>0.035</v>
      </c>
    </row>
    <row r="12" ht="15.75" customHeight="1">
      <c r="B12" s="64" t="s">
        <v>195</v>
      </c>
      <c r="C12" s="141">
        <f>IF(Data!D66="No",Data!C85,Data!D85)</f>
        <v>14303</v>
      </c>
      <c r="D12" s="141">
        <f>IF('Conservative Value'!ModelYear&gt;'Conservative Value'!EXP_CAP,"",C12*(1+'Conservative Value'!Model_EbitGrowth))</f>
        <v>14303</v>
      </c>
      <c r="E12" s="141">
        <f>IF('Conservative Value'!ModelYear&gt;'Conservative Value'!EXP_CAP,"",D12*(1+'Conservative Value'!Model_EbitGrowth))</f>
        <v>14303</v>
      </c>
      <c r="F12" s="141">
        <f>IF('Conservative Value'!ModelYear&gt;'Conservative Value'!EXP_CAP,"",E12*(1+'Conservative Value'!Model_EbitGrowth))</f>
        <v>14303</v>
      </c>
      <c r="G12" s="141">
        <f>IF('Conservative Value'!ModelYear&gt;'Conservative Value'!EXP_CAP,"",F12*(1+'Conservative Value'!Model_EbitGrowth))</f>
        <v>14303</v>
      </c>
      <c r="H12" s="141" t="str">
        <f>IF('Conservative Value'!ModelYear&gt;'Conservative Value'!EXP_CAP,"",G12*(1+'Conservative Value'!Model_EbitGrowth))</f>
        <v/>
      </c>
      <c r="I12" s="141" t="str">
        <f>IF('Conservative Value'!ModelYear&gt;'Conservative Value'!EXP_CAP,"",H12*(1+'Conservative Value'!Model_EbitGrowth))</f>
        <v/>
      </c>
      <c r="J12" s="141" t="str">
        <f>IF('Conservative Value'!ModelYear&gt;'Conservative Value'!EXP_CAP,"",I12*(1+'Conservative Value'!Model_EbitGrowth))</f>
        <v/>
      </c>
      <c r="K12" s="141" t="str">
        <f>IF('Conservative Value'!ModelYear&gt;'Conservative Value'!EXP_CAP,"",J12*(1+'Conservative Value'!Model_EbitGrowth))</f>
        <v/>
      </c>
      <c r="L12" s="141" t="str">
        <f>IF('Conservative Value'!ModelYear&gt;'Conservative Value'!EXP_CAP,"",K12*(1+'Conservative Value'!Model_EbitGrowth))</f>
        <v/>
      </c>
      <c r="M12" s="141" t="str">
        <f>IF('Conservative Value'!ModelYear&gt;'Conservative Value'!EXP_CAP,"",L12*(1+'Conservative Value'!Model_EbitGrowth))</f>
        <v/>
      </c>
      <c r="N12" s="141">
        <f>INDIRECT(ADDRESS(ROW(B12),'Conservative Value'!EXP_CAP+3))*(1+'Conservative Value'!Terminal_EbitGrowth)</f>
        <v>14803.605</v>
      </c>
    </row>
    <row r="13" ht="15.75" customHeight="1">
      <c r="B13" s="132" t="s">
        <v>196</v>
      </c>
      <c r="C13" s="142">
        <f>Data!C14</f>
        <v>0.2398</v>
      </c>
      <c r="D13" s="143">
        <v>0.25</v>
      </c>
      <c r="E13" s="143">
        <v>0.25</v>
      </c>
      <c r="F13" s="143">
        <v>0.25</v>
      </c>
      <c r="G13" s="143">
        <v>0.25</v>
      </c>
      <c r="H13" s="144"/>
      <c r="I13" s="144"/>
      <c r="J13" s="144"/>
      <c r="K13" s="145"/>
      <c r="L13" s="145"/>
      <c r="M13" s="145"/>
      <c r="N13" s="142">
        <f>Data!D52</f>
        <v>0.165</v>
      </c>
    </row>
    <row r="14" ht="15.75" customHeight="1">
      <c r="B14" s="146" t="s">
        <v>103</v>
      </c>
      <c r="C14" s="147">
        <f>IF(Data!D66="No",Data!C87,Data!D87)</f>
        <v>11943.005</v>
      </c>
      <c r="D14" s="141">
        <f>IF('Conservative Value'!ModelYear&gt;'Conservative Value'!EXP_CAP,"",D12*(1-D13))</f>
        <v>10727.25</v>
      </c>
      <c r="E14" s="147">
        <f>IF('Conservative Value'!ModelYear&gt;'Conservative Value'!EXP_CAP,"",E12*(1-E13))</f>
        <v>10727.25</v>
      </c>
      <c r="F14" s="147">
        <f>IF('Conservative Value'!ModelYear&gt;'Conservative Value'!EXP_CAP,"",F12*(1-F13))</f>
        <v>10727.25</v>
      </c>
      <c r="G14" s="147">
        <f>IF('Conservative Value'!ModelYear&gt;'Conservative Value'!EXP_CAP,"",G12*(1-G13))</f>
        <v>10727.25</v>
      </c>
      <c r="H14" s="147" t="str">
        <f>IF('Conservative Value'!ModelYear&gt;'Conservative Value'!EXP_CAP,"",H12*(1-H13))</f>
        <v/>
      </c>
      <c r="I14" s="147" t="str">
        <f>IF('Conservative Value'!ModelYear&gt;'Conservative Value'!EXP_CAP,"",I12*(1-I13))</f>
        <v/>
      </c>
      <c r="J14" s="147" t="str">
        <f>IF('Conservative Value'!ModelYear&gt;'Conservative Value'!EXP_CAP,"",J12*(1-J13))</f>
        <v/>
      </c>
      <c r="K14" s="147" t="str">
        <f>IF('Conservative Value'!ModelYear&gt;'Conservative Value'!EXP_CAP,"",K12*(1-K13))</f>
        <v/>
      </c>
      <c r="L14" s="147" t="str">
        <f>IF('Conservative Value'!ModelYear&gt;'Conservative Value'!EXP_CAP,"",L12*(1-L13))</f>
        <v/>
      </c>
      <c r="M14" s="147" t="str">
        <f>IF('Conservative Value'!ModelYear&gt;'Conservative Value'!EXP_CAP,"",M12*(1-M13))</f>
        <v/>
      </c>
      <c r="N14" s="147">
        <f>N12*(1-N13)</f>
        <v>12361.01018</v>
      </c>
    </row>
    <row r="15" ht="15.75" customHeight="1">
      <c r="B15" s="148" t="s">
        <v>125</v>
      </c>
      <c r="C15" s="98"/>
      <c r="D15" s="142">
        <f>D14/C10</f>
        <v>0.03538699813</v>
      </c>
      <c r="E15" s="149">
        <v>0.04</v>
      </c>
      <c r="F15" s="149">
        <v>0.04</v>
      </c>
      <c r="G15" s="149">
        <v>0.04</v>
      </c>
      <c r="H15" s="145"/>
      <c r="I15" s="145"/>
      <c r="J15" s="145"/>
      <c r="K15" s="145"/>
      <c r="L15" s="145"/>
      <c r="M15" s="145"/>
      <c r="N15" s="142">
        <f>Dashboard!F30</f>
        <v>0.1025</v>
      </c>
    </row>
    <row r="16" ht="15.75" customHeight="1">
      <c r="B16" s="132" t="s">
        <v>197</v>
      </c>
      <c r="C16" s="98"/>
      <c r="D16" s="142">
        <f>IF('Conservative Value'!ModelYear&gt;='Conservative Value'!EXP_CAP,IF('Conservative Value'!ModelYear='Conservative Value'!EXP_CAP,$N$16,""),IF(E11&lt;0,0,E11/E15))</f>
        <v>0</v>
      </c>
      <c r="E16" s="142">
        <f>IF('Conservative Value'!ModelYear&gt;='Conservative Value'!EXP_CAP,IF('Conservative Value'!ModelYear='Conservative Value'!EXP_CAP,$N$16,""),IF(F11&lt;0,0,F11/F15))</f>
        <v>0</v>
      </c>
      <c r="F16" s="142">
        <f>IF('Conservative Value'!ModelYear&gt;='Conservative Value'!EXP_CAP,IF('Conservative Value'!ModelYear='Conservative Value'!EXP_CAP,$N$16,""),IF(G11&lt;0,0,G11/G15))</f>
        <v>0</v>
      </c>
      <c r="G16" s="142">
        <f>IF('Conservative Value'!ModelYear&gt;='Conservative Value'!EXP_CAP,IF('Conservative Value'!ModelYear='Conservative Value'!EXP_CAP,$N$16,""),IF(H11&lt;0,0,H11/H15))</f>
        <v>0.3414634146</v>
      </c>
      <c r="H16" s="142" t="str">
        <f>IF('Conservative Value'!ModelYear&gt;='Conservative Value'!EXP_CAP,IF('Conservative Value'!ModelYear='Conservative Value'!EXP_CAP,$N$16,""),IF(I11&lt;0,0,I11/I15))</f>
        <v/>
      </c>
      <c r="I16" s="142" t="str">
        <f>IF('Conservative Value'!ModelYear&gt;='Conservative Value'!EXP_CAP,IF('Conservative Value'!ModelYear='Conservative Value'!EXP_CAP,$N$16,""),IF(J11&lt;0,0,J11/J15))</f>
        <v/>
      </c>
      <c r="J16" s="142" t="str">
        <f>IF('Conservative Value'!ModelYear&gt;='Conservative Value'!EXP_CAP,IF('Conservative Value'!ModelYear='Conservative Value'!EXP_CAP,$N$16,""),IF(K11&lt;0,0,K11/K15))</f>
        <v/>
      </c>
      <c r="K16" s="142" t="str">
        <f>IF('Conservative Value'!ModelYear&gt;='Conservative Value'!EXP_CAP,IF('Conservative Value'!ModelYear='Conservative Value'!EXP_CAP,$N$16,""),IF(L11&lt;0,0,L11/L15))</f>
        <v/>
      </c>
      <c r="L16" s="142" t="str">
        <f>IF('Conservative Value'!ModelYear&gt;='Conservative Value'!EXP_CAP,IF('Conservative Value'!ModelYear='Conservative Value'!EXP_CAP,$N$16,""),IF(M11&lt;0,0,M11/M15))</f>
        <v/>
      </c>
      <c r="M16" s="142" t="str">
        <f>IF('Conservative Value'!ModelYear&gt;='Conservative Value'!EXP_CAP,IF('Conservative Value'!ModelYear='Conservative Value'!EXP_CAP,$N$16,""),IF(N11&lt;0,0,N11/N15))</f>
        <v/>
      </c>
      <c r="N16" s="150">
        <f>N11/N15</f>
        <v>0.3414634146</v>
      </c>
    </row>
    <row r="17" ht="15.0" customHeight="1">
      <c r="B17" s="151" t="s">
        <v>121</v>
      </c>
      <c r="C17" s="123"/>
      <c r="D17" s="141">
        <f t="shared" ref="D17:M17" si="1">IF(D16="","",D16*D12)</f>
        <v>0</v>
      </c>
      <c r="E17" s="141">
        <f t="shared" si="1"/>
        <v>0</v>
      </c>
      <c r="F17" s="141">
        <f t="shared" si="1"/>
        <v>0</v>
      </c>
      <c r="G17" s="141">
        <f t="shared" si="1"/>
        <v>4883.95122</v>
      </c>
      <c r="H17" s="141" t="str">
        <f t="shared" si="1"/>
        <v/>
      </c>
      <c r="I17" s="141" t="str">
        <f t="shared" si="1"/>
        <v/>
      </c>
      <c r="J17" s="141" t="str">
        <f t="shared" si="1"/>
        <v/>
      </c>
      <c r="K17" s="141" t="str">
        <f t="shared" si="1"/>
        <v/>
      </c>
      <c r="L17" s="141" t="str">
        <f t="shared" si="1"/>
        <v/>
      </c>
      <c r="M17" s="141" t="str">
        <f t="shared" si="1"/>
        <v/>
      </c>
      <c r="N17" s="123"/>
    </row>
    <row r="18" ht="15.75" customHeight="1">
      <c r="B18" s="152" t="s">
        <v>198</v>
      </c>
      <c r="C18" s="153"/>
      <c r="D18" s="154">
        <f>IF('Conservative Value'!ModelYear&gt;'Conservative Value'!EXP_CAP,"",IF('Conservative Value'!ModelYear='Conservative Value'!EXP_CAP,'Conservative Value'!Model_NOPAT*(1-D16),'Conservative Value'!Model_NOPAT-D17))</f>
        <v>10727.25</v>
      </c>
      <c r="E18" s="154">
        <f>IF('Conservative Value'!ModelYear&gt;'Conservative Value'!EXP_CAP,"",IF('Conservative Value'!ModelYear='Conservative Value'!EXP_CAP,'Conservative Value'!Model_NOPAT*(1-E16),'Conservative Value'!Model_NOPAT-E17))</f>
        <v>10727.25</v>
      </c>
      <c r="F18" s="154">
        <f>IF('Conservative Value'!ModelYear&gt;'Conservative Value'!EXP_CAP,"",IF('Conservative Value'!ModelYear='Conservative Value'!EXP_CAP,'Conservative Value'!Model_NOPAT*(1-F16),'Conservative Value'!Model_NOPAT-F17))</f>
        <v>10727.25</v>
      </c>
      <c r="G18" s="154">
        <f>IF('Conservative Value'!ModelYear&gt;'Conservative Value'!EXP_CAP,"",IF('Conservative Value'!ModelYear='Conservative Value'!EXP_CAP,'Conservative Value'!Model_NOPAT*(1-G16),'Conservative Value'!Model_NOPAT-G17))</f>
        <v>7064.286585</v>
      </c>
      <c r="H18" s="154" t="str">
        <f>IF('Conservative Value'!ModelYear&gt;'Conservative Value'!EXP_CAP,"",IF('Conservative Value'!ModelYear='Conservative Value'!EXP_CAP,'Conservative Value'!Model_NOPAT*(1-H16),'Conservative Value'!Model_NOPAT-H17))</f>
        <v/>
      </c>
      <c r="I18" s="154" t="str">
        <f>IF('Conservative Value'!ModelYear&gt;'Conservative Value'!EXP_CAP,"",IF('Conservative Value'!ModelYear='Conservative Value'!EXP_CAP,'Conservative Value'!Model_NOPAT*(1-I16),'Conservative Value'!Model_NOPAT-I17))</f>
        <v/>
      </c>
      <c r="J18" s="154" t="str">
        <f>IF('Conservative Value'!ModelYear&gt;'Conservative Value'!EXP_CAP,"",IF('Conservative Value'!ModelYear='Conservative Value'!EXP_CAP,'Conservative Value'!Model_NOPAT*(1-J16),'Conservative Value'!Model_NOPAT-J17))</f>
        <v/>
      </c>
      <c r="K18" s="154" t="str">
        <f>IF('Conservative Value'!ModelYear&gt;'Conservative Value'!EXP_CAP,"",IF('Conservative Value'!ModelYear='Conservative Value'!EXP_CAP,'Conservative Value'!Model_NOPAT*(1-K16),'Conservative Value'!Model_NOPAT-K17))</f>
        <v/>
      </c>
      <c r="L18" s="154" t="str">
        <f>IF('Conservative Value'!ModelYear&gt;'Conservative Value'!EXP_CAP,"",IF('Conservative Value'!ModelYear='Conservative Value'!EXP_CAP,'Conservative Value'!Model_NOPAT*(1-L16),'Conservative Value'!Model_NOPAT-L17))</f>
        <v/>
      </c>
      <c r="M18" s="154" t="str">
        <f>IF('Conservative Value'!ModelYear&gt;'Conservative Value'!EXP_CAP,"",IF('Conservative Value'!ModelYear='Conservative Value'!EXP_CAP,'Conservative Value'!Model_NOPAT*(1-M16),'Conservative Value'!Model_NOPAT-M17))</f>
        <v/>
      </c>
      <c r="N18" s="155">
        <f>N14*(1-N16)</f>
        <v>8140.177432</v>
      </c>
    </row>
    <row r="19" ht="15.75" customHeight="1">
      <c r="B19" s="132" t="s">
        <v>199</v>
      </c>
      <c r="C19" s="53"/>
      <c r="D19" s="142">
        <f>IF('Conservative Value'!ModelYear&gt;'Conservative Value'!EXP_CAP,"",IF('Conservative Value'!ModelYear&gt;$G$6,'Conservative Value'!Terminal_Wacc-$K$6/('Conservative Value'!EXP_CAP-$G$6)*('Conservative Value'!EXP_CAP-'Conservative Value'!ModelYear),'Conservative Value'!EXP_Wacc))</f>
        <v>0.075</v>
      </c>
      <c r="E19" s="142">
        <f>IF('Conservative Value'!ModelYear&gt;'Conservative Value'!EXP_CAP,"",IF('Conservative Value'!ModelYear&gt;$G$6,'Conservative Value'!Terminal_Wacc-$K$6/('Conservative Value'!EXP_CAP-$G$6)*('Conservative Value'!EXP_CAP-'Conservative Value'!ModelYear),'Conservative Value'!EXP_Wacc))</f>
        <v>0.075</v>
      </c>
      <c r="F19" s="142">
        <f>IF('Conservative Value'!ModelYear&gt;'Conservative Value'!EXP_CAP,"",IF('Conservative Value'!ModelYear&gt;$G$6,'Conservative Value'!Terminal_Wacc-$K$6/('Conservative Value'!EXP_CAP-$G$6)*('Conservative Value'!EXP_CAP-'Conservative Value'!ModelYear),'Conservative Value'!EXP_Wacc))</f>
        <v>0.08875</v>
      </c>
      <c r="G19" s="142">
        <f>IF('Conservative Value'!ModelYear&gt;'Conservative Value'!EXP_CAP,"",IF('Conservative Value'!ModelYear&gt;$G$6,'Conservative Value'!Terminal_Wacc-$K$6/('Conservative Value'!EXP_CAP-$G$6)*('Conservative Value'!EXP_CAP-'Conservative Value'!ModelYear),'Conservative Value'!EXP_Wacc))</f>
        <v>0.1025</v>
      </c>
      <c r="H19" s="142" t="str">
        <f>IF('Conservative Value'!ModelYear&gt;'Conservative Value'!EXP_CAP,"",IF('Conservative Value'!ModelYear&gt;$G$6,'Conservative Value'!Terminal_Wacc-$K$6/('Conservative Value'!EXP_CAP-$G$6)*('Conservative Value'!EXP_CAP-'Conservative Value'!ModelYear),'Conservative Value'!EXP_Wacc))</f>
        <v/>
      </c>
      <c r="I19" s="142" t="str">
        <f>IF('Conservative Value'!ModelYear&gt;'Conservative Value'!EXP_CAP,"",IF('Conservative Value'!ModelYear&gt;$G$6,'Conservative Value'!Terminal_Wacc-$K$6/('Conservative Value'!EXP_CAP-$G$6)*('Conservative Value'!EXP_CAP-'Conservative Value'!ModelYear),'Conservative Value'!EXP_Wacc))</f>
        <v/>
      </c>
      <c r="J19" s="142" t="str">
        <f>IF('Conservative Value'!ModelYear&gt;'Conservative Value'!EXP_CAP,"",IF('Conservative Value'!ModelYear&gt;$G$6,'Conservative Value'!Terminal_Wacc-$K$6/('Conservative Value'!EXP_CAP-$G$6)*('Conservative Value'!EXP_CAP-'Conservative Value'!ModelYear),'Conservative Value'!EXP_Wacc))</f>
        <v/>
      </c>
      <c r="K19" s="142" t="str">
        <f>IF('Conservative Value'!ModelYear&gt;'Conservative Value'!EXP_CAP,"",IF('Conservative Value'!ModelYear&gt;$G$6,'Conservative Value'!Terminal_Wacc-$K$6/('Conservative Value'!EXP_CAP-$G$6)*('Conservative Value'!EXP_CAP-'Conservative Value'!ModelYear),'Conservative Value'!EXP_Wacc))</f>
        <v/>
      </c>
      <c r="L19" s="142" t="str">
        <f>IF('Conservative Value'!ModelYear&gt;'Conservative Value'!EXP_CAP,"",IF('Conservative Value'!ModelYear&gt;$G$6,'Conservative Value'!Terminal_Wacc-$K$6/('Conservative Value'!EXP_CAP-$G$6)*('Conservative Value'!EXP_CAP-'Conservative Value'!ModelYear),'Conservative Value'!EXP_Wacc))</f>
        <v/>
      </c>
      <c r="M19" s="142" t="str">
        <f>IF('Conservative Value'!ModelYear&gt;'Conservative Value'!EXP_CAP,"",IF('Conservative Value'!ModelYear&gt;$G$6,'Conservative Value'!Terminal_Wacc-$K$6/('Conservative Value'!EXP_CAP-$G$6)*('Conservative Value'!EXP_CAP-'Conservative Value'!ModelYear),'Conservative Value'!EXP_Wacc))</f>
        <v/>
      </c>
      <c r="N19" s="142">
        <f>'Conservative Value'!Terminal_Wacc</f>
        <v>0.1025</v>
      </c>
    </row>
    <row r="20" ht="15.75" customHeight="1">
      <c r="B20" s="156" t="s">
        <v>200</v>
      </c>
      <c r="C20" s="157"/>
      <c r="D20" s="150">
        <f>IF('Conservative Value'!ModelYear&gt;'Conservative Value'!EXP_CAP,"",1+D19)</f>
        <v>1.075</v>
      </c>
      <c r="E20" s="150">
        <f>IF('Conservative Value'!ModelYear&gt;'Conservative Value'!EXP_CAP,"",(1+D19)*(1+E19))</f>
        <v>1.155625</v>
      </c>
      <c r="F20" s="150">
        <f>IF('Conservative Value'!ModelYear&gt;'Conservative Value'!EXP_CAP,"",(1+D19)*(1+E19)*(1+F19))</f>
        <v>1.258186719</v>
      </c>
      <c r="G20" s="150">
        <f>IF('Conservative Value'!ModelYear&gt;'Conservative Value'!EXP_CAP,"",(1+D19)*(1+E19)*(1+F19)*(1+G19))</f>
        <v>1.387150857</v>
      </c>
      <c r="H20" s="150" t="str">
        <f>IF('Conservative Value'!ModelYear&gt;'Conservative Value'!EXP_CAP,"",(1+D19)*(1+E19)*(1+F19)*(1+G19)*(1+H19))</f>
        <v/>
      </c>
      <c r="I20" s="150" t="str">
        <f>IF('Conservative Value'!ModelYear&gt;'Conservative Value'!EXP_CAP,"",(1+D19)*(1+E19)*(1+F19)*(1+G19)*(1+H19)*(1+I19))</f>
        <v/>
      </c>
      <c r="J20" s="150" t="str">
        <f>IF('Conservative Value'!ModelYear&gt;'Conservative Value'!EXP_CAP,"",(1+D19)*(1+E19)*(1+F19)*(1+G19)*(1+H19)*(1+I19)*(1+J19))</f>
        <v/>
      </c>
      <c r="K20" s="150" t="str">
        <f>IF('Conservative Value'!ModelYear&gt;'Conservative Value'!EXP_CAP,"",(1+D19)*(1+E19)*(1+F19)*(1+G19)*(1+H19)*(1+I19)*(1+J19)*(1+K19))</f>
        <v/>
      </c>
      <c r="L20" s="150" t="str">
        <f>IF('Conservative Value'!ModelYear&gt;'Conservative Value'!EXP_CAP,"",(1+D19)*(1+E19)*(1+F19)*(1+G19)*(1+H19)*(1+I19)*(1+J19)*(1+K19)*(1+L19))</f>
        <v/>
      </c>
      <c r="M20" s="150" t="str">
        <f>IF('Conservative Value'!ModelYear&gt;'Conservative Value'!EXP_CAP,"",(1+D19)*(1+E19)*(1+F19)*(1+G19)*(1+H19)*(1+I19)*(1+J19)*(1+K19)*(1+L19)*(1+M19))</f>
        <v/>
      </c>
      <c r="N20" s="158"/>
    </row>
    <row r="21" ht="15.75" customHeight="1">
      <c r="B21" s="159" t="s">
        <v>201</v>
      </c>
      <c r="C21" s="160"/>
      <c r="D21" s="155">
        <f>IF('Conservative Value'!ModelYear&gt;'Conservative Value'!EXP_CAP,"",'Conservative Value'!Model_FCFF/D20)</f>
        <v>9978.837209</v>
      </c>
      <c r="E21" s="155">
        <f>IF('Conservative Value'!ModelYear&gt;'Conservative Value'!EXP_CAP,"",'Conservative Value'!Model_FCFF/E20)</f>
        <v>9282.639264</v>
      </c>
      <c r="F21" s="155">
        <f>IF('Conservative Value'!ModelYear&gt;'Conservative Value'!EXP_CAP,"",'Conservative Value'!Model_FCFF/F20)</f>
        <v>8525.960289</v>
      </c>
      <c r="G21" s="155">
        <f>IF('Conservative Value'!ModelYear&gt;'Conservative Value'!EXP_CAP,"",'Conservative Value'!Model_FCFF/G20)</f>
        <v>5092.659207</v>
      </c>
      <c r="H21" s="155" t="str">
        <f>IF('Conservative Value'!ModelYear&gt;'Conservative Value'!EXP_CAP,"",'Conservative Value'!Model_FCFF/H20)</f>
        <v/>
      </c>
      <c r="I21" s="155" t="str">
        <f>IF('Conservative Value'!ModelYear&gt;'Conservative Value'!EXP_CAP,"",'Conservative Value'!Model_FCFF/I20)</f>
        <v/>
      </c>
      <c r="J21" s="155" t="str">
        <f>IF('Conservative Value'!ModelYear&gt;'Conservative Value'!EXP_CAP,"",'Conservative Value'!Model_FCFF/J20)</f>
        <v/>
      </c>
      <c r="K21" s="155" t="str">
        <f>IF('Conservative Value'!ModelYear&gt;'Conservative Value'!EXP_CAP,"",'Conservative Value'!Model_FCFF/K20)</f>
        <v/>
      </c>
      <c r="L21" s="155" t="str">
        <f>IF('Conservative Value'!ModelYear&gt;'Conservative Value'!EXP_CAP,"",'Conservative Value'!Model_FCFF/L20)</f>
        <v/>
      </c>
      <c r="M21" s="155" t="str">
        <f>IF('Conservative Value'!ModelYear&gt;'Conservative Value'!EXP_CAP,"",'Conservative Value'!Model_FCFF/M20)</f>
        <v/>
      </c>
      <c r="N21" s="158"/>
    </row>
    <row r="22" ht="15.75" customHeight="1"/>
    <row r="23" ht="15.75" customHeight="1">
      <c r="B23" s="95" t="s">
        <v>202</v>
      </c>
      <c r="D23" s="64" t="s">
        <v>203</v>
      </c>
      <c r="E23" s="64" t="s">
        <v>204</v>
      </c>
    </row>
    <row r="24" ht="15.75" customHeight="1">
      <c r="B24" s="161" t="s">
        <v>205</v>
      </c>
      <c r="D24" s="142">
        <f>E24/E28</f>
        <v>0.1246163747</v>
      </c>
      <c r="E24" s="162">
        <f>SUM(D21:M21)</f>
        <v>32880.09597</v>
      </c>
      <c r="F24" s="4"/>
    </row>
    <row r="25" ht="15.75" customHeight="1">
      <c r="B25" s="161" t="s">
        <v>206</v>
      </c>
      <c r="D25" s="142">
        <f>1-D24</f>
        <v>0.8753836253</v>
      </c>
      <c r="E25" s="162">
        <f>N18/('Conservative Value'!Terminal_Wacc-'Conservative Value'!Terminal_EbitGrowth)/IF('Conservative Value'!EXP_CAP=0,1,INDIRECT(ADDRESS(ROW(B20),'Conservative Value'!EXP_CAP+2)))</f>
        <v>95848.42967</v>
      </c>
      <c r="F25" s="4"/>
      <c r="G25" s="53" t="s">
        <v>207</v>
      </c>
    </row>
    <row r="26" ht="15.75" customHeight="1">
      <c r="B26" s="161" t="s">
        <v>208</v>
      </c>
      <c r="E26" s="163">
        <f>Data!C23*(1-G26)</f>
        <v>0</v>
      </c>
      <c r="F26" s="4"/>
      <c r="G26" s="145">
        <v>0.2</v>
      </c>
    </row>
    <row r="27" ht="15.75" customHeight="1">
      <c r="B27" s="161" t="s">
        <v>209</v>
      </c>
      <c r="E27" s="162">
        <f>Data!C22</f>
        <v>135122</v>
      </c>
      <c r="F27" s="4"/>
    </row>
    <row r="28" ht="15.75" customHeight="1">
      <c r="B28" s="64" t="s">
        <v>210</v>
      </c>
      <c r="E28" s="164">
        <f>E24+E25+E26+E27</f>
        <v>263850.5256</v>
      </c>
      <c r="F28" s="165"/>
    </row>
    <row r="29" ht="15.75" customHeight="1"/>
    <row r="30" ht="15.75" customHeight="1">
      <c r="B30" s="64" t="s">
        <v>211</v>
      </c>
      <c r="E30" s="162">
        <f>Data!D55</f>
        <v>33545</v>
      </c>
      <c r="F30" s="4"/>
    </row>
    <row r="31" ht="15.75" customHeight="1">
      <c r="B31" s="64" t="s">
        <v>212</v>
      </c>
      <c r="E31" s="166">
        <f>E28-E30</f>
        <v>230305.5256</v>
      </c>
      <c r="F31" s="37"/>
    </row>
    <row r="32" ht="15.75" customHeight="1">
      <c r="B32" s="64" t="s">
        <v>213</v>
      </c>
      <c r="E32" s="162">
        <f>Data!F59</f>
        <v>0</v>
      </c>
      <c r="F32" s="4"/>
    </row>
    <row r="33" ht="15.75" customHeight="1">
      <c r="B33" s="64" t="s">
        <v>214</v>
      </c>
      <c r="E33" s="162">
        <f>Data!D56</f>
        <v>0</v>
      </c>
      <c r="F33" s="4"/>
    </row>
    <row r="34" ht="15.75" customHeight="1">
      <c r="B34" s="64" t="s">
        <v>215</v>
      </c>
      <c r="E34" s="166">
        <f>E31-E32-E33</f>
        <v>230305.5256</v>
      </c>
      <c r="F34" s="37"/>
      <c r="G34" s="167" t="str">
        <f>Dashboard!C12</f>
        <v>HKD</v>
      </c>
      <c r="I34" s="168" t="s">
        <v>216</v>
      </c>
      <c r="J34" s="169">
        <f>F35/((Data!F4*Dashboard!C13)/(Dashboard!C8/Data!F3))</f>
        <v>19.29503398</v>
      </c>
    </row>
    <row r="35" ht="15.75" customHeight="1">
      <c r="B35" s="64" t="s">
        <v>217</v>
      </c>
      <c r="F35" s="170">
        <f>E34*Data!F3/Cs_Shares*Dashboard!C13</f>
        <v>0.8931625092</v>
      </c>
      <c r="G35" s="171" t="str">
        <f>Dashboard!D7</f>
        <v>HKD</v>
      </c>
      <c r="I35" s="168" t="s">
        <v>218</v>
      </c>
      <c r="J35" s="172">
        <f>F35/(IF(Data!C20="",Data!D20,Data!C20)*Data!F3/Cs_Shares)</f>
        <v>0.5690518475</v>
      </c>
    </row>
    <row r="36" ht="15.75" customHeight="1"/>
    <row r="37" ht="15.75" customHeight="1">
      <c r="B37" s="95" t="s">
        <v>219</v>
      </c>
      <c r="C37" s="64" t="s">
        <v>220</v>
      </c>
      <c r="E37" s="127" t="str">
        <f>G35</f>
        <v>HKD</v>
      </c>
      <c r="F37" s="91">
        <f>Dashboard!C7</f>
        <v>0.395</v>
      </c>
      <c r="G37" s="64" t="s">
        <v>221</v>
      </c>
      <c r="H37" s="173">
        <f>F37/F35-1</f>
        <v>-0.5577512536</v>
      </c>
      <c r="I37" s="64" t="str">
        <f>IF(H37&lt;0,"undervalued","overvalued") &amp; " by the market."</f>
        <v>undervalued by the market.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1">
    <mergeCell ref="E31:F31"/>
    <mergeCell ref="E32:F32"/>
    <mergeCell ref="E33:F33"/>
    <mergeCell ref="E34:F34"/>
    <mergeCell ref="B2:D2"/>
    <mergeCell ref="E24:F24"/>
    <mergeCell ref="E25:F25"/>
    <mergeCell ref="E26:F26"/>
    <mergeCell ref="E27:F27"/>
    <mergeCell ref="E28:F28"/>
    <mergeCell ref="E30:F30"/>
  </mergeCells>
  <dataValidations>
    <dataValidation type="list" allowBlank="1" sqref="C3">
      <formula1>"Base Case,Bear Case,Bull Case"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2" max="2" width="26.8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124" t="s">
        <v>180</v>
      </c>
      <c r="C2" s="4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95" t="s">
        <v>181</v>
      </c>
      <c r="C3" s="125" t="s">
        <v>222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126" t="s">
        <v>183</v>
      </c>
      <c r="C4" s="1"/>
      <c r="D4" s="1"/>
      <c r="E4" s="126"/>
      <c r="F4" s="1"/>
      <c r="G4" s="1"/>
      <c r="H4" s="1"/>
      <c r="I4" s="126" t="s">
        <v>184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64" t="s">
        <v>185</v>
      </c>
      <c r="C5" s="22">
        <f>Dashboard!G11</f>
        <v>0.075</v>
      </c>
      <c r="D5" s="1"/>
      <c r="E5" s="64" t="s">
        <v>186</v>
      </c>
      <c r="F5" s="1"/>
      <c r="G5" s="127">
        <f>Dashboard!D28</f>
        <v>4</v>
      </c>
      <c r="H5" s="1"/>
      <c r="I5" s="64" t="s">
        <v>185</v>
      </c>
      <c r="J5" s="1"/>
      <c r="K5" s="22">
        <f>Dashboard!G13</f>
        <v>0.1025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1" t="s">
        <v>187</v>
      </c>
      <c r="C6" s="128">
        <f>(INDIRECT(ADDRESS(ROW(B12),'Stress Test'!EXP_CAP+3))/C12)^(1/'Stress Test'!EXP_CAP)-1</f>
        <v>-0.08708616892</v>
      </c>
      <c r="D6" s="1"/>
      <c r="E6" s="64" t="s">
        <v>188</v>
      </c>
      <c r="F6" s="1"/>
      <c r="G6" s="129">
        <f>_xlfn.FLOOR.MATH((G5/2))</f>
        <v>2</v>
      </c>
      <c r="H6" s="1"/>
      <c r="I6" s="1" t="s">
        <v>189</v>
      </c>
      <c r="J6" s="1"/>
      <c r="K6" s="128">
        <f>'Stress Test'!Terminal_Wacc-'Stress Test'!EXP_Wacc</f>
        <v>0.0275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95" t="s">
        <v>190</v>
      </c>
      <c r="C8" s="64" t="s">
        <v>191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130" t="str">
        <f>"(Numbers in "&amp;Data!F3&amp;Dashboard!C12&amp;")"</f>
        <v>(Numbers in 1000HKD)</v>
      </c>
      <c r="C9" s="131" t="str">
        <f>Data!C6</f>
        <v>FY 2021</v>
      </c>
      <c r="D9" s="131">
        <v>1.0</v>
      </c>
      <c r="E9" s="131">
        <v>2.0</v>
      </c>
      <c r="F9" s="131">
        <v>3.0</v>
      </c>
      <c r="G9" s="131">
        <v>4.0</v>
      </c>
      <c r="H9" s="131">
        <v>5.0</v>
      </c>
      <c r="I9" s="131">
        <v>6.0</v>
      </c>
      <c r="J9" s="131">
        <v>7.0</v>
      </c>
      <c r="K9" s="131">
        <v>8.0</v>
      </c>
      <c r="L9" s="131">
        <v>9.0</v>
      </c>
      <c r="M9" s="131">
        <v>10.0</v>
      </c>
      <c r="N9" s="131" t="s">
        <v>192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132" t="s">
        <v>193</v>
      </c>
      <c r="C10" s="133">
        <f>IF(Data!D66="No",Data!C89,Data!D89)</f>
        <v>303141</v>
      </c>
      <c r="D10" s="133">
        <f>IF('Stress Test'!ModelYear&gt;'Stress Test'!EXP_CAP,"",C10+C17)</f>
        <v>303141</v>
      </c>
      <c r="E10" s="133">
        <f>IF('Stress Test'!ModelYear&gt;'Stress Test'!EXP_CAP,"",D10+D17)</f>
        <v>317444</v>
      </c>
      <c r="F10" s="133">
        <f>IF('Stress Test'!ModelYear&gt;'Stress Test'!EXP_CAP,"",E10+E17)</f>
        <v>332462.15</v>
      </c>
      <c r="G10" s="133">
        <f>IF('Stress Test'!ModelYear&gt;'Stress Test'!EXP_CAP,"",F10+F17)</f>
        <v>348231.2075</v>
      </c>
      <c r="H10" s="133" t="str">
        <f>IF('Stress Test'!ModelYear&gt;'Stress Test'!EXP_CAP,"",G10+G17)</f>
        <v/>
      </c>
      <c r="I10" s="133" t="str">
        <f>IF('Stress Test'!ModelYear&gt;'Stress Test'!EXP_CAP,"",H10+H17)</f>
        <v/>
      </c>
      <c r="J10" s="133" t="str">
        <f>IF('Stress Test'!ModelYear&gt;'Stress Test'!EXP_CAP,"",I10+I17)</f>
        <v/>
      </c>
      <c r="K10" s="133" t="str">
        <f>IF('Stress Test'!ModelYear&gt;'Stress Test'!EXP_CAP,"",J10+J17)</f>
        <v/>
      </c>
      <c r="L10" s="133" t="str">
        <f>IF('Stress Test'!ModelYear&gt;'Stress Test'!EXP_CAP,"",K10+K17)</f>
        <v/>
      </c>
      <c r="M10" s="133" t="str">
        <f>IF('Stress Test'!ModelYear&gt;'Stress Test'!EXP_CAP,"",L10+L17)</f>
        <v/>
      </c>
      <c r="N10" s="53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135" t="s">
        <v>194</v>
      </c>
      <c r="C11" s="136"/>
      <c r="D11" s="174">
        <v>-0.4</v>
      </c>
      <c r="E11" s="174">
        <v>0.05</v>
      </c>
      <c r="F11" s="174">
        <v>0.05</v>
      </c>
      <c r="G11" s="174">
        <v>0.05</v>
      </c>
      <c r="H11" s="139"/>
      <c r="I11" s="139"/>
      <c r="J11" s="139"/>
      <c r="K11" s="139"/>
      <c r="L11" s="139"/>
      <c r="M11" s="139"/>
      <c r="N11" s="140">
        <f>'Stress Test'!Terminal_EbitGrowth</f>
        <v>0.035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64" t="s">
        <v>195</v>
      </c>
      <c r="C12" s="141">
        <f>IF(Data!D66="No",Data!C85,Data!D85)</f>
        <v>14303</v>
      </c>
      <c r="D12" s="141">
        <f>IF('Stress Test'!ModelYear&gt;'Stress Test'!EXP_CAP,"",C12*(1+'Stress Test'!Model_EbitGrowth))</f>
        <v>8581.8</v>
      </c>
      <c r="E12" s="141">
        <f>IF('Stress Test'!ModelYear&gt;'Stress Test'!EXP_CAP,"",D12*(1+'Stress Test'!Model_EbitGrowth))</f>
        <v>9010.89</v>
      </c>
      <c r="F12" s="141">
        <f>IF('Stress Test'!ModelYear&gt;'Stress Test'!EXP_CAP,"",E12*(1+'Stress Test'!Model_EbitGrowth))</f>
        <v>9461.4345</v>
      </c>
      <c r="G12" s="141">
        <f>IF('Stress Test'!ModelYear&gt;'Stress Test'!EXP_CAP,"",F12*(1+'Stress Test'!Model_EbitGrowth))</f>
        <v>9934.506225</v>
      </c>
      <c r="H12" s="141" t="str">
        <f>IF('Stress Test'!ModelYear&gt;'Stress Test'!EXP_CAP,"",G12*(1+'Stress Test'!Model_EbitGrowth))</f>
        <v/>
      </c>
      <c r="I12" s="141" t="str">
        <f>IF('Stress Test'!ModelYear&gt;'Stress Test'!EXP_CAP,"",H12*(1+'Stress Test'!Model_EbitGrowth))</f>
        <v/>
      </c>
      <c r="J12" s="141" t="str">
        <f>IF('Stress Test'!ModelYear&gt;'Stress Test'!EXP_CAP,"",I12*(1+'Stress Test'!Model_EbitGrowth))</f>
        <v/>
      </c>
      <c r="K12" s="141" t="str">
        <f>IF('Stress Test'!ModelYear&gt;'Stress Test'!EXP_CAP,"",J12*(1+'Stress Test'!Model_EbitGrowth))</f>
        <v/>
      </c>
      <c r="L12" s="141" t="str">
        <f>IF('Stress Test'!ModelYear&gt;'Stress Test'!EXP_CAP,"",K12*(1+'Stress Test'!Model_EbitGrowth))</f>
        <v/>
      </c>
      <c r="M12" s="141" t="str">
        <f>IF('Stress Test'!ModelYear&gt;'Stress Test'!EXP_CAP,"",L12*(1+'Stress Test'!Model_EbitGrowth))</f>
        <v/>
      </c>
      <c r="N12" s="141">
        <f>INDIRECT(ADDRESS(ROW(B12),'Stress Test'!EXP_CAP+3))*(1+'Stress Test'!Terminal_EbitGrowth)</f>
        <v>10282.21394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32" t="s">
        <v>196</v>
      </c>
      <c r="C13" s="142">
        <f>Data!C14</f>
        <v>0.2398</v>
      </c>
      <c r="D13" s="149">
        <v>0.25</v>
      </c>
      <c r="E13" s="149">
        <v>0.25</v>
      </c>
      <c r="F13" s="149">
        <v>0.25</v>
      </c>
      <c r="G13" s="149">
        <v>0.25</v>
      </c>
      <c r="H13" s="145"/>
      <c r="I13" s="145"/>
      <c r="J13" s="145"/>
      <c r="K13" s="145"/>
      <c r="L13" s="145"/>
      <c r="M13" s="145"/>
      <c r="N13" s="142">
        <f>Data!D52</f>
        <v>0.165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146" t="s">
        <v>103</v>
      </c>
      <c r="C14" s="147">
        <f>IF(Data!D66="No",Data!C87,Data!D87)</f>
        <v>11943.005</v>
      </c>
      <c r="D14" s="147">
        <f>IF('Stress Test'!ModelYear&gt;'Stress Test'!EXP_CAP,"",D12*(1-D13))</f>
        <v>6436.35</v>
      </c>
      <c r="E14" s="147">
        <f>IF('Stress Test'!ModelYear&gt;'Stress Test'!EXP_CAP,"",E12*(1-E13))</f>
        <v>6758.1675</v>
      </c>
      <c r="F14" s="147">
        <f>IF('Stress Test'!ModelYear&gt;'Stress Test'!EXP_CAP,"",F12*(1-F13))</f>
        <v>7096.075875</v>
      </c>
      <c r="G14" s="147">
        <f>IF('Stress Test'!ModelYear&gt;'Stress Test'!EXP_CAP,"",G12*(1-G13))</f>
        <v>7450.879669</v>
      </c>
      <c r="H14" s="147" t="str">
        <f>IF('Stress Test'!ModelYear&gt;'Stress Test'!EXP_CAP,"",H12*(1-H13))</f>
        <v/>
      </c>
      <c r="I14" s="147" t="str">
        <f>IF('Stress Test'!ModelYear&gt;'Stress Test'!EXP_CAP,"",I12*(1-I13))</f>
        <v/>
      </c>
      <c r="J14" s="147" t="str">
        <f>IF('Stress Test'!ModelYear&gt;'Stress Test'!EXP_CAP,"",J12*(1-J13))</f>
        <v/>
      </c>
      <c r="K14" s="147" t="str">
        <f>IF('Stress Test'!ModelYear&gt;'Stress Test'!EXP_CAP,"",K12*(1-K13))</f>
        <v/>
      </c>
      <c r="L14" s="147" t="str">
        <f>IF('Stress Test'!ModelYear&gt;'Stress Test'!EXP_CAP,"",L12*(1-L13))</f>
        <v/>
      </c>
      <c r="M14" s="147" t="str">
        <f>IF('Stress Test'!ModelYear&gt;'Stress Test'!EXP_CAP,"",M12*(1-M13))</f>
        <v/>
      </c>
      <c r="N14" s="147">
        <f>N12*(1-N13)</f>
        <v>8585.648642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148" t="s">
        <v>125</v>
      </c>
      <c r="C15" s="98"/>
      <c r="D15" s="142">
        <f>D14/C10</f>
        <v>0.02123219888</v>
      </c>
      <c r="E15" s="149">
        <v>0.03</v>
      </c>
      <c r="F15" s="149">
        <v>0.03</v>
      </c>
      <c r="G15" s="149">
        <v>0.03</v>
      </c>
      <c r="H15" s="145"/>
      <c r="I15" s="145"/>
      <c r="J15" s="145"/>
      <c r="K15" s="145"/>
      <c r="L15" s="145"/>
      <c r="M15" s="145"/>
      <c r="N15" s="142">
        <f>Dashboard!F30</f>
        <v>0.1025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32" t="s">
        <v>197</v>
      </c>
      <c r="C16" s="98"/>
      <c r="D16" s="142">
        <f>IF('Stress Test'!ModelYear&gt;='Stress Test'!EXP_CAP,IF('Stress Test'!ModelYear='Stress Test'!EXP_CAP,$N$16,""),IF(E11&lt;0,0,E11/E15))</f>
        <v>1.666666667</v>
      </c>
      <c r="E16" s="142">
        <f>IF('Stress Test'!ModelYear&gt;='Stress Test'!EXP_CAP,IF('Stress Test'!ModelYear='Stress Test'!EXP_CAP,$N$16,""),IF(F11&lt;0,0,F11/F15))</f>
        <v>1.666666667</v>
      </c>
      <c r="F16" s="142">
        <f>IF('Stress Test'!ModelYear&gt;='Stress Test'!EXP_CAP,IF('Stress Test'!ModelYear='Stress Test'!EXP_CAP,$N$16,""),IF(G11&lt;0,0,G11/G15))</f>
        <v>1.666666667</v>
      </c>
      <c r="G16" s="142">
        <f>IF('Stress Test'!ModelYear&gt;='Stress Test'!EXP_CAP,IF('Stress Test'!ModelYear='Stress Test'!EXP_CAP,$N$16,""),IF(H11&lt;0,0,H11/H15))</f>
        <v>0.3414634146</v>
      </c>
      <c r="H16" s="142" t="str">
        <f>IF('Stress Test'!ModelYear&gt;='Stress Test'!EXP_CAP,IF('Stress Test'!ModelYear='Stress Test'!EXP_CAP,$N$16,""),IF(I11&lt;0,0,I11/I15))</f>
        <v/>
      </c>
      <c r="I16" s="142" t="str">
        <f>IF('Stress Test'!ModelYear&gt;='Stress Test'!EXP_CAP,IF('Stress Test'!ModelYear='Stress Test'!EXP_CAP,$N$16,""),IF(J11&lt;0,0,J11/J15))</f>
        <v/>
      </c>
      <c r="J16" s="142" t="str">
        <f>IF('Stress Test'!ModelYear&gt;='Stress Test'!EXP_CAP,IF('Stress Test'!ModelYear='Stress Test'!EXP_CAP,$N$16,""),IF(K11&lt;0,0,K11/K15))</f>
        <v/>
      </c>
      <c r="K16" s="142" t="str">
        <f>IF('Stress Test'!ModelYear&gt;='Stress Test'!EXP_CAP,IF('Stress Test'!ModelYear='Stress Test'!EXP_CAP,$N$16,""),IF(L11&lt;0,0,L11/L15))</f>
        <v/>
      </c>
      <c r="L16" s="142" t="str">
        <f>IF('Stress Test'!ModelYear&gt;='Stress Test'!EXP_CAP,IF('Stress Test'!ModelYear='Stress Test'!EXP_CAP,$N$16,""),IF(M11&lt;0,0,M11/M15))</f>
        <v/>
      </c>
      <c r="M16" s="142" t="str">
        <f>IF('Stress Test'!ModelYear&gt;='Stress Test'!EXP_CAP,IF('Stress Test'!ModelYear='Stress Test'!EXP_CAP,$N$16,""),IF(N11&lt;0,0,N11/N15))</f>
        <v/>
      </c>
      <c r="N16" s="150">
        <f>N11/N15</f>
        <v>0.3414634146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0" customHeight="1">
      <c r="A17" s="1"/>
      <c r="B17" s="151" t="s">
        <v>121</v>
      </c>
      <c r="C17" s="123"/>
      <c r="D17" s="141">
        <f t="shared" ref="D17:M17" si="1">IF(D16="","",D16*D12)</f>
        <v>14303</v>
      </c>
      <c r="E17" s="141">
        <f t="shared" si="1"/>
        <v>15018.15</v>
      </c>
      <c r="F17" s="141">
        <f t="shared" si="1"/>
        <v>15769.0575</v>
      </c>
      <c r="G17" s="141">
        <f t="shared" si="1"/>
        <v>3392.270418</v>
      </c>
      <c r="H17" s="141" t="str">
        <f t="shared" si="1"/>
        <v/>
      </c>
      <c r="I17" s="141" t="str">
        <f t="shared" si="1"/>
        <v/>
      </c>
      <c r="J17" s="141" t="str">
        <f t="shared" si="1"/>
        <v/>
      </c>
      <c r="K17" s="141" t="str">
        <f t="shared" si="1"/>
        <v/>
      </c>
      <c r="L17" s="141" t="str">
        <f t="shared" si="1"/>
        <v/>
      </c>
      <c r="M17" s="141" t="str">
        <f t="shared" si="1"/>
        <v/>
      </c>
      <c r="N17" s="123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52" t="s">
        <v>198</v>
      </c>
      <c r="C18" s="153"/>
      <c r="D18" s="154">
        <f>IF('Stress Test'!ModelYear&gt;'Stress Test'!EXP_CAP,"",IF('Stress Test'!ModelYear='Stress Test'!EXP_CAP,'Stress Test'!Model_NOPAT*(1-D16),'Stress Test'!Model_NOPAT-D17))</f>
        <v>-7866.65</v>
      </c>
      <c r="E18" s="154">
        <f>IF('Stress Test'!ModelYear&gt;'Stress Test'!EXP_CAP,"",IF('Stress Test'!ModelYear='Stress Test'!EXP_CAP,'Stress Test'!Model_NOPAT*(1-E16),'Stress Test'!Model_NOPAT-E17))</f>
        <v>-8259.9825</v>
      </c>
      <c r="F18" s="154">
        <f>IF('Stress Test'!ModelYear&gt;'Stress Test'!EXP_CAP,"",IF('Stress Test'!ModelYear='Stress Test'!EXP_CAP,'Stress Test'!Model_NOPAT*(1-F16),'Stress Test'!Model_NOPAT-F17))</f>
        <v>-8672.981625</v>
      </c>
      <c r="G18" s="154">
        <f>IF('Stress Test'!ModelYear&gt;'Stress Test'!EXP_CAP,"",IF('Stress Test'!ModelYear='Stress Test'!EXP_CAP,'Stress Test'!Model_NOPAT*(1-G16),'Stress Test'!Model_NOPAT-G17))</f>
        <v>4906.676855</v>
      </c>
      <c r="H18" s="154" t="str">
        <f>IF('Stress Test'!ModelYear&gt;'Stress Test'!EXP_CAP,"",IF('Stress Test'!ModelYear='Stress Test'!EXP_CAP,'Stress Test'!Model_NOPAT*(1-H16),'Stress Test'!Model_NOPAT-H17))</f>
        <v/>
      </c>
      <c r="I18" s="154" t="str">
        <f>IF('Stress Test'!ModelYear&gt;'Stress Test'!EXP_CAP,"",IF('Stress Test'!ModelYear='Stress Test'!EXP_CAP,'Stress Test'!Model_NOPAT*(1-I16),'Stress Test'!Model_NOPAT-I17))</f>
        <v/>
      </c>
      <c r="J18" s="154" t="str">
        <f>IF('Stress Test'!ModelYear&gt;'Stress Test'!EXP_CAP,"",IF('Stress Test'!ModelYear='Stress Test'!EXP_CAP,'Stress Test'!Model_NOPAT*(1-J16),'Stress Test'!Model_NOPAT-J17))</f>
        <v/>
      </c>
      <c r="K18" s="154" t="str">
        <f>IF('Stress Test'!ModelYear&gt;'Stress Test'!EXP_CAP,"",IF('Stress Test'!ModelYear='Stress Test'!EXP_CAP,'Stress Test'!Model_NOPAT*(1-K16),'Stress Test'!Model_NOPAT-K17))</f>
        <v/>
      </c>
      <c r="L18" s="154" t="str">
        <f>IF('Stress Test'!ModelYear&gt;'Stress Test'!EXP_CAP,"",IF('Stress Test'!ModelYear='Stress Test'!EXP_CAP,'Stress Test'!Model_NOPAT*(1-L16),'Stress Test'!Model_NOPAT-L17))</f>
        <v/>
      </c>
      <c r="M18" s="154" t="str">
        <f>IF('Stress Test'!ModelYear&gt;'Stress Test'!EXP_CAP,"",IF('Stress Test'!ModelYear='Stress Test'!EXP_CAP,'Stress Test'!Model_NOPAT*(1-M16),'Stress Test'!Model_NOPAT-M17))</f>
        <v/>
      </c>
      <c r="N18" s="155">
        <f>N14*(1-N16)</f>
        <v>5653.96374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32" t="s">
        <v>199</v>
      </c>
      <c r="C19" s="53"/>
      <c r="D19" s="142">
        <f>IF('Stress Test'!ModelYear&gt;'Stress Test'!EXP_CAP,"",IF('Stress Test'!ModelYear&gt;$G$6,'Stress Test'!Terminal_Wacc-$K$6/('Stress Test'!EXP_CAP-$G$6)*('Stress Test'!EXP_CAP-'Stress Test'!ModelYear),'Stress Test'!EXP_Wacc))</f>
        <v>0.075</v>
      </c>
      <c r="E19" s="142">
        <f>IF('Stress Test'!ModelYear&gt;'Stress Test'!EXP_CAP,"",IF('Stress Test'!ModelYear&gt;$G$6,'Stress Test'!Terminal_Wacc-$K$6/('Stress Test'!EXP_CAP-$G$6)*('Stress Test'!EXP_CAP-'Stress Test'!ModelYear),'Stress Test'!EXP_Wacc))</f>
        <v>0.075</v>
      </c>
      <c r="F19" s="142">
        <f>IF('Stress Test'!ModelYear&gt;'Stress Test'!EXP_CAP,"",IF('Stress Test'!ModelYear&gt;$G$6,'Stress Test'!Terminal_Wacc-$K$6/('Stress Test'!EXP_CAP-$G$6)*('Stress Test'!EXP_CAP-'Stress Test'!ModelYear),'Stress Test'!EXP_Wacc))</f>
        <v>0.08875</v>
      </c>
      <c r="G19" s="142">
        <f>IF('Stress Test'!ModelYear&gt;'Stress Test'!EXP_CAP,"",IF('Stress Test'!ModelYear&gt;$G$6,'Stress Test'!Terminal_Wacc-$K$6/('Stress Test'!EXP_CAP-$G$6)*('Stress Test'!EXP_CAP-'Stress Test'!ModelYear),'Stress Test'!EXP_Wacc))</f>
        <v>0.1025</v>
      </c>
      <c r="H19" s="142" t="str">
        <f>IF('Stress Test'!ModelYear&gt;'Stress Test'!EXP_CAP,"",IF('Stress Test'!ModelYear&gt;$G$6,'Stress Test'!Terminal_Wacc-$K$6/('Stress Test'!EXP_CAP-$G$6)*('Stress Test'!EXP_CAP-'Stress Test'!ModelYear),'Stress Test'!EXP_Wacc))</f>
        <v/>
      </c>
      <c r="I19" s="142" t="str">
        <f>IF('Stress Test'!ModelYear&gt;'Stress Test'!EXP_CAP,"",IF('Stress Test'!ModelYear&gt;$G$6,'Stress Test'!Terminal_Wacc-$K$6/('Stress Test'!EXP_CAP-$G$6)*('Stress Test'!EXP_CAP-'Stress Test'!ModelYear),'Stress Test'!EXP_Wacc))</f>
        <v/>
      </c>
      <c r="J19" s="142" t="str">
        <f>IF('Stress Test'!ModelYear&gt;'Stress Test'!EXP_CAP,"",IF('Stress Test'!ModelYear&gt;$G$6,'Stress Test'!Terminal_Wacc-$K$6/('Stress Test'!EXP_CAP-$G$6)*('Stress Test'!EXP_CAP-'Stress Test'!ModelYear),'Stress Test'!EXP_Wacc))</f>
        <v/>
      </c>
      <c r="K19" s="142" t="str">
        <f>IF('Stress Test'!ModelYear&gt;'Stress Test'!EXP_CAP,"",IF('Stress Test'!ModelYear&gt;$G$6,'Stress Test'!Terminal_Wacc-$K$6/('Stress Test'!EXP_CAP-$G$6)*('Stress Test'!EXP_CAP-'Stress Test'!ModelYear),'Stress Test'!EXP_Wacc))</f>
        <v/>
      </c>
      <c r="L19" s="142" t="str">
        <f>IF('Stress Test'!ModelYear&gt;'Stress Test'!EXP_CAP,"",IF('Stress Test'!ModelYear&gt;$G$6,'Stress Test'!Terminal_Wacc-$K$6/('Stress Test'!EXP_CAP-$G$6)*('Stress Test'!EXP_CAP-'Stress Test'!ModelYear),'Stress Test'!EXP_Wacc))</f>
        <v/>
      </c>
      <c r="M19" s="142" t="str">
        <f>IF('Stress Test'!ModelYear&gt;'Stress Test'!EXP_CAP,"",IF('Stress Test'!ModelYear&gt;$G$6,'Stress Test'!Terminal_Wacc-$K$6/('Stress Test'!EXP_CAP-$G$6)*('Stress Test'!EXP_CAP-'Stress Test'!ModelYear),'Stress Test'!EXP_Wacc))</f>
        <v/>
      </c>
      <c r="N19" s="142">
        <f>'Stress Test'!Terminal_Wacc</f>
        <v>0.1025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56" t="s">
        <v>200</v>
      </c>
      <c r="C20" s="157"/>
      <c r="D20" s="150">
        <f>IF('Stress Test'!ModelYear&gt;'Stress Test'!EXP_CAP,"",1+D19)</f>
        <v>1.075</v>
      </c>
      <c r="E20" s="150">
        <f>IF('Stress Test'!ModelYear&gt;'Stress Test'!EXP_CAP,"",(1+D19)*(1+E19))</f>
        <v>1.155625</v>
      </c>
      <c r="F20" s="150">
        <f>IF('Stress Test'!ModelYear&gt;'Stress Test'!EXP_CAP,"",(1+D19)*(1+E19)*(1+F19))</f>
        <v>1.258186719</v>
      </c>
      <c r="G20" s="150">
        <f>IF('Stress Test'!ModelYear&gt;'Stress Test'!EXP_CAP,"",(1+D19)*(1+E19)*(1+F19)*(1+G19))</f>
        <v>1.387150857</v>
      </c>
      <c r="H20" s="150" t="str">
        <f>IF('Stress Test'!ModelYear&gt;'Stress Test'!EXP_CAP,"",(1+D19)*(1+E19)*(1+F19)*(1+G19)*(1+H19))</f>
        <v/>
      </c>
      <c r="I20" s="150" t="str">
        <f>IF('Stress Test'!ModelYear&gt;'Stress Test'!EXP_CAP,"",(1+D19)*(1+E19)*(1+F19)*(1+G19)*(1+H19)*(1+I19))</f>
        <v/>
      </c>
      <c r="J20" s="150" t="str">
        <f>IF('Stress Test'!ModelYear&gt;'Stress Test'!EXP_CAP,"",(1+D19)*(1+E19)*(1+F19)*(1+G19)*(1+H19)*(1+I19)*(1+J19))</f>
        <v/>
      </c>
      <c r="K20" s="150" t="str">
        <f>IF('Stress Test'!ModelYear&gt;'Stress Test'!EXP_CAP,"",(1+D19)*(1+E19)*(1+F19)*(1+G19)*(1+H19)*(1+I19)*(1+J19)*(1+K19))</f>
        <v/>
      </c>
      <c r="L20" s="150" t="str">
        <f>IF('Stress Test'!ModelYear&gt;'Stress Test'!EXP_CAP,"",(1+D19)*(1+E19)*(1+F19)*(1+G19)*(1+H19)*(1+I19)*(1+J19)*(1+K19)*(1+L19))</f>
        <v/>
      </c>
      <c r="M20" s="150" t="str">
        <f>IF('Stress Test'!ModelYear&gt;'Stress Test'!EXP_CAP,"",(1+D19)*(1+E19)*(1+F19)*(1+G19)*(1+H19)*(1+I19)*(1+J19)*(1+K19)*(1+L19)*(1+M19))</f>
        <v/>
      </c>
      <c r="N20" s="158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59" t="s">
        <v>201</v>
      </c>
      <c r="C21" s="160"/>
      <c r="D21" s="155">
        <f>IF('Stress Test'!ModelYear&gt;'Stress Test'!EXP_CAP,"",'Stress Test'!Model_FCFF/D20)</f>
        <v>-7317.813953</v>
      </c>
      <c r="E21" s="155">
        <f>IF('Stress Test'!ModelYear&gt;'Stress Test'!EXP_CAP,"",'Stress Test'!Model_FCFF/E20)</f>
        <v>-7147.632234</v>
      </c>
      <c r="F21" s="155">
        <f>IF('Stress Test'!ModelYear&gt;'Stress Test'!EXP_CAP,"",'Stress Test'!Model_FCFF/F20)</f>
        <v>-6893.238894</v>
      </c>
      <c r="G21" s="155">
        <f>IF('Stress Test'!ModelYear&gt;'Stress Test'!EXP_CAP,"",'Stress Test'!Model_FCFF/G20)</f>
        <v>3537.233769</v>
      </c>
      <c r="H21" s="155" t="str">
        <f>IF('Stress Test'!ModelYear&gt;'Stress Test'!EXP_CAP,"",'Stress Test'!Model_FCFF/H20)</f>
        <v/>
      </c>
      <c r="I21" s="155" t="str">
        <f>IF('Stress Test'!ModelYear&gt;'Stress Test'!EXP_CAP,"",'Stress Test'!Model_FCFF/I20)</f>
        <v/>
      </c>
      <c r="J21" s="155" t="str">
        <f>IF('Stress Test'!ModelYear&gt;'Stress Test'!EXP_CAP,"",'Stress Test'!Model_FCFF/J20)</f>
        <v/>
      </c>
      <c r="K21" s="155" t="str">
        <f>IF('Stress Test'!ModelYear&gt;'Stress Test'!EXP_CAP,"",'Stress Test'!Model_FCFF/K20)</f>
        <v/>
      </c>
      <c r="L21" s="155" t="str">
        <f>IF('Stress Test'!ModelYear&gt;'Stress Test'!EXP_CAP,"",'Stress Test'!Model_FCFF/L20)</f>
        <v/>
      </c>
      <c r="M21" s="155" t="str">
        <f>IF('Stress Test'!ModelYear&gt;'Stress Test'!EXP_CAP,"",'Stress Test'!Model_FCFF/M20)</f>
        <v/>
      </c>
      <c r="N21" s="158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95" t="s">
        <v>202</v>
      </c>
      <c r="C23" s="1"/>
      <c r="D23" s="64" t="s">
        <v>203</v>
      </c>
      <c r="E23" s="64" t="s">
        <v>204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61" t="s">
        <v>205</v>
      </c>
      <c r="C24" s="1"/>
      <c r="D24" s="142">
        <f>E24/E28</f>
        <v>-0.09692183556</v>
      </c>
      <c r="E24" s="162">
        <f>SUM(D21:M21)</f>
        <v>-17821.45131</v>
      </c>
      <c r="F24" s="4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61" t="s">
        <v>206</v>
      </c>
      <c r="C25" s="1"/>
      <c r="D25" s="142">
        <f>1-D24</f>
        <v>1.096921836</v>
      </c>
      <c r="E25" s="162">
        <f>N18/('Stress Test'!Terminal_Wacc-'Stress Test'!Terminal_EbitGrowth)/IF('Stress Test'!EXP_CAP=0,1,INDIRECT(ADDRESS(ROW(B20),'Stress Test'!EXP_CAP+2)))</f>
        <v>66573.92304</v>
      </c>
      <c r="F25" s="4"/>
      <c r="G25" s="53" t="s">
        <v>207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61" t="s">
        <v>208</v>
      </c>
      <c r="C26" s="1"/>
      <c r="D26" s="1"/>
      <c r="E26" s="163">
        <f>Data!C23*(1-G26)</f>
        <v>0</v>
      </c>
      <c r="F26" s="4"/>
      <c r="G26" s="145">
        <v>0.3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61" t="s">
        <v>209</v>
      </c>
      <c r="C27" s="1"/>
      <c r="D27" s="1"/>
      <c r="E27" s="162">
        <f>Data!C22</f>
        <v>135122</v>
      </c>
      <c r="F27" s="4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64" t="s">
        <v>210</v>
      </c>
      <c r="C28" s="1"/>
      <c r="D28" s="1"/>
      <c r="E28" s="164">
        <f>E24+E25+E26+E27</f>
        <v>183874.4717</v>
      </c>
      <c r="F28" s="165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64" t="s">
        <v>211</v>
      </c>
      <c r="C30" s="1"/>
      <c r="D30" s="1"/>
      <c r="E30" s="162">
        <f>Data!D55</f>
        <v>33545</v>
      </c>
      <c r="F30" s="4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64" t="s">
        <v>212</v>
      </c>
      <c r="C31" s="1"/>
      <c r="D31" s="1"/>
      <c r="E31" s="166">
        <f>E28-E30</f>
        <v>150329.4717</v>
      </c>
      <c r="F31" s="37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64" t="s">
        <v>213</v>
      </c>
      <c r="C32" s="1"/>
      <c r="D32" s="1"/>
      <c r="E32" s="162">
        <f>Data!F59</f>
        <v>0</v>
      </c>
      <c r="F32" s="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64" t="s">
        <v>214</v>
      </c>
      <c r="C33" s="1"/>
      <c r="D33" s="1"/>
      <c r="E33" s="162">
        <f>Data!D56</f>
        <v>0</v>
      </c>
      <c r="F33" s="4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64" t="s">
        <v>215</v>
      </c>
      <c r="C34" s="1"/>
      <c r="D34" s="1"/>
      <c r="E34" s="166">
        <f>E31-E32-E33</f>
        <v>150329.4717</v>
      </c>
      <c r="F34" s="37"/>
      <c r="G34" s="167" t="str">
        <f>Dashboard!C12</f>
        <v>HKD</v>
      </c>
      <c r="H34" s="1"/>
      <c r="I34" s="168" t="s">
        <v>216</v>
      </c>
      <c r="J34" s="169">
        <f>F35/((Data!F4*Dashboard!C13)/(Dashboard!C8/Data!F3))</f>
        <v>12.59462732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64" t="s">
        <v>217</v>
      </c>
      <c r="C35" s="1"/>
      <c r="D35" s="1"/>
      <c r="E35" s="1"/>
      <c r="F35" s="170">
        <f>E34*Data!F3/Cs_Shares*Dashboard!C13</f>
        <v>0.583002287</v>
      </c>
      <c r="G35" s="171" t="str">
        <f>Dashboard!D7</f>
        <v>HKD</v>
      </c>
      <c r="H35" s="1"/>
      <c r="I35" s="168" t="s">
        <v>218</v>
      </c>
      <c r="J35" s="172">
        <f>F35/(IF(Data!C20="",Data!D20,Data!C20)*Data!F3/Cs_Shares)</f>
        <v>0.3714425148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95" t="s">
        <v>219</v>
      </c>
      <c r="C37" s="64" t="s">
        <v>220</v>
      </c>
      <c r="D37" s="1"/>
      <c r="E37" s="127" t="str">
        <f>G35</f>
        <v>HKD</v>
      </c>
      <c r="F37" s="91">
        <f>Dashboard!C7</f>
        <v>0.395</v>
      </c>
      <c r="G37" s="64" t="s">
        <v>221</v>
      </c>
      <c r="H37" s="173">
        <f>F37/F35-1</f>
        <v>-0.3224726407</v>
      </c>
      <c r="I37" s="64" t="str">
        <f>IF(H37&lt;0,"undervalued","overvalued") &amp; " by the market."</f>
        <v>undervalued by the market.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1">
    <mergeCell ref="E31:F31"/>
    <mergeCell ref="E32:F32"/>
    <mergeCell ref="E33:F33"/>
    <mergeCell ref="E34:F34"/>
    <mergeCell ref="B2:D2"/>
    <mergeCell ref="E24:F24"/>
    <mergeCell ref="E25:F25"/>
    <mergeCell ref="E26:F26"/>
    <mergeCell ref="E27:F27"/>
    <mergeCell ref="E28:F28"/>
    <mergeCell ref="E30:F30"/>
  </mergeCells>
  <dataValidations>
    <dataValidation type="list" allowBlank="1" sqref="C3">
      <formula1>"Base Case,Bear Case,Bull Case"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3" max="3" width="74.63"/>
    <col customWidth="1" min="4" max="4" width="6.38"/>
    <col customWidth="1" min="5" max="6" width="25.13"/>
  </cols>
  <sheetData>
    <row r="2">
      <c r="B2" s="2" t="s">
        <v>223</v>
      </c>
      <c r="C2" s="43"/>
      <c r="D2" s="64"/>
      <c r="E2" s="64"/>
    </row>
    <row r="3" ht="15.0" customHeight="1">
      <c r="B3" s="64" t="s">
        <v>224</v>
      </c>
      <c r="C3" s="64"/>
      <c r="D3" s="175" t="b">
        <f t="shared" ref="D3:D18" si="1">IF(LEFT(E3,1)="H",IF(LEFT(E3,1)="C",-1,0))</f>
        <v>0</v>
      </c>
      <c r="E3" s="68" t="s">
        <v>225</v>
      </c>
      <c r="F3" s="4"/>
    </row>
    <row r="4" ht="15.0" customHeight="1">
      <c r="B4" s="64" t="s">
        <v>226</v>
      </c>
      <c r="C4" s="64"/>
      <c r="D4" s="175" t="b">
        <f t="shared" si="1"/>
        <v>0</v>
      </c>
      <c r="E4" s="68" t="s">
        <v>227</v>
      </c>
      <c r="F4" s="4"/>
    </row>
    <row r="5" ht="15.0" customHeight="1">
      <c r="B5" s="64" t="s">
        <v>228</v>
      </c>
      <c r="C5" s="64"/>
      <c r="D5" s="175" t="b">
        <f t="shared" si="1"/>
        <v>0</v>
      </c>
      <c r="E5" s="68" t="s">
        <v>229</v>
      </c>
      <c r="F5" s="4"/>
    </row>
    <row r="6" ht="15.0" customHeight="1">
      <c r="B6" s="64" t="s">
        <v>230</v>
      </c>
      <c r="C6" s="64"/>
      <c r="D6" s="175" t="b">
        <f t="shared" si="1"/>
        <v>0</v>
      </c>
      <c r="E6" s="68" t="s">
        <v>231</v>
      </c>
      <c r="F6" s="4"/>
    </row>
    <row r="7" ht="15.0" customHeight="1">
      <c r="B7" s="64" t="s">
        <v>232</v>
      </c>
      <c r="C7" s="64"/>
      <c r="D7" s="175" t="b">
        <f t="shared" si="1"/>
        <v>0</v>
      </c>
      <c r="E7" s="68" t="s">
        <v>233</v>
      </c>
      <c r="F7" s="4"/>
    </row>
    <row r="8" ht="15.0" customHeight="1">
      <c r="B8" s="64" t="s">
        <v>234</v>
      </c>
      <c r="C8" s="64"/>
      <c r="D8" s="175" t="b">
        <f t="shared" si="1"/>
        <v>0</v>
      </c>
      <c r="E8" s="68" t="s">
        <v>235</v>
      </c>
      <c r="F8" s="4"/>
    </row>
    <row r="9" ht="15.0" customHeight="1">
      <c r="B9" s="64" t="s">
        <v>236</v>
      </c>
      <c r="C9" s="64"/>
      <c r="D9" s="175" t="b">
        <f t="shared" si="1"/>
        <v>0</v>
      </c>
      <c r="E9" s="68" t="s">
        <v>237</v>
      </c>
      <c r="F9" s="4"/>
    </row>
    <row r="10" ht="15.0" customHeight="1">
      <c r="B10" s="64" t="s">
        <v>238</v>
      </c>
      <c r="C10" s="64"/>
      <c r="D10" s="175" t="b">
        <f t="shared" si="1"/>
        <v>0</v>
      </c>
      <c r="E10" s="68" t="s">
        <v>239</v>
      </c>
      <c r="F10" s="4"/>
    </row>
    <row r="11" ht="15.0" customHeight="1">
      <c r="B11" s="64" t="s">
        <v>240</v>
      </c>
      <c r="C11" s="64"/>
      <c r="D11" s="175" t="b">
        <f t="shared" si="1"/>
        <v>0</v>
      </c>
      <c r="E11" s="68" t="s">
        <v>241</v>
      </c>
      <c r="F11" s="4"/>
    </row>
    <row r="12" ht="15.0" customHeight="1">
      <c r="B12" s="64" t="s">
        <v>242</v>
      </c>
      <c r="C12" s="64"/>
      <c r="D12" s="175" t="b">
        <f t="shared" si="1"/>
        <v>0</v>
      </c>
      <c r="E12" s="68" t="s">
        <v>243</v>
      </c>
      <c r="F12" s="4"/>
    </row>
    <row r="13" ht="15.0" customHeight="1">
      <c r="B13" s="64" t="s">
        <v>244</v>
      </c>
      <c r="C13" s="64"/>
      <c r="D13" s="175" t="b">
        <f t="shared" si="1"/>
        <v>0</v>
      </c>
      <c r="E13" s="68" t="s">
        <v>245</v>
      </c>
      <c r="F13" s="4"/>
    </row>
    <row r="14" ht="15.0" customHeight="1">
      <c r="B14" s="64" t="s">
        <v>246</v>
      </c>
      <c r="C14" s="64"/>
      <c r="D14" s="175" t="b">
        <f t="shared" si="1"/>
        <v>0</v>
      </c>
      <c r="E14" s="68" t="s">
        <v>247</v>
      </c>
      <c r="F14" s="4"/>
    </row>
    <row r="15" ht="15.0" customHeight="1">
      <c r="B15" s="64" t="s">
        <v>248</v>
      </c>
      <c r="C15" s="64"/>
      <c r="D15" s="175" t="b">
        <f t="shared" si="1"/>
        <v>0</v>
      </c>
      <c r="E15" s="68" t="s">
        <v>249</v>
      </c>
      <c r="F15" s="4"/>
    </row>
    <row r="16" ht="15.0" customHeight="1">
      <c r="B16" s="64" t="s">
        <v>250</v>
      </c>
      <c r="C16" s="64"/>
      <c r="D16" s="175" t="b">
        <f t="shared" si="1"/>
        <v>0</v>
      </c>
      <c r="E16" s="68" t="s">
        <v>251</v>
      </c>
      <c r="F16" s="4"/>
    </row>
    <row r="17" ht="15.0" customHeight="1">
      <c r="B17" s="64" t="s">
        <v>252</v>
      </c>
      <c r="C17" s="64"/>
      <c r="D17" s="175" t="b">
        <f t="shared" si="1"/>
        <v>0</v>
      </c>
      <c r="E17" s="68" t="s">
        <v>253</v>
      </c>
      <c r="F17" s="4"/>
    </row>
    <row r="18" ht="15.0" customHeight="1">
      <c r="B18" s="64" t="s">
        <v>254</v>
      </c>
      <c r="C18" s="64"/>
      <c r="D18" s="175" t="b">
        <f t="shared" si="1"/>
        <v>0</v>
      </c>
      <c r="E18" s="68" t="s">
        <v>255</v>
      </c>
      <c r="F18" s="4"/>
    </row>
    <row r="19">
      <c r="B19" s="176" t="s">
        <v>256</v>
      </c>
      <c r="C19" s="64"/>
      <c r="D19" s="64"/>
      <c r="E19" s="66" t="str">
        <f>IF(SUM(F3:F18)&gt;=8, "Hot - Be Defensive", IF(SUM(F3:F18)&lt;=8,"Cold - Be Optimistically Cautious", "Netrual - Be Selective"))</f>
        <v>Cold - Be Optimistically Cautious</v>
      </c>
      <c r="F19" s="4"/>
    </row>
    <row r="21">
      <c r="B21" s="2" t="s">
        <v>257</v>
      </c>
      <c r="C21" s="2"/>
    </row>
    <row r="22">
      <c r="B22" s="177" t="s">
        <v>258</v>
      </c>
      <c r="C22" s="64"/>
      <c r="D22" s="69"/>
      <c r="E22" s="53"/>
      <c r="F22" s="53"/>
    </row>
    <row r="23">
      <c r="B23" s="64" t="s">
        <v>259</v>
      </c>
      <c r="D23" s="67">
        <f t="shared" ref="D23:D27" si="2">IF(E23="Strongly disagree",0,IF(E23="disagree",1,IF(E23="unclear",2,IF(E23="agree",3,4))))</f>
        <v>1</v>
      </c>
      <c r="E23" s="9" t="s">
        <v>47</v>
      </c>
      <c r="F23" s="4"/>
    </row>
    <row r="24">
      <c r="B24" s="64" t="s">
        <v>260</v>
      </c>
      <c r="C24" s="64"/>
      <c r="D24" s="67">
        <f t="shared" si="2"/>
        <v>4</v>
      </c>
      <c r="E24" s="68" t="s">
        <v>49</v>
      </c>
      <c r="F24" s="4"/>
    </row>
    <row r="25">
      <c r="B25" s="64" t="s">
        <v>261</v>
      </c>
      <c r="D25" s="67">
        <f t="shared" si="2"/>
        <v>3</v>
      </c>
      <c r="E25" s="9" t="s">
        <v>52</v>
      </c>
      <c r="F25" s="4"/>
    </row>
    <row r="26">
      <c r="B26" s="64" t="s">
        <v>262</v>
      </c>
      <c r="D26" s="67">
        <f t="shared" si="2"/>
        <v>0</v>
      </c>
      <c r="E26" s="9" t="s">
        <v>76</v>
      </c>
      <c r="F26" s="4"/>
    </row>
    <row r="27">
      <c r="B27" s="64" t="s">
        <v>263</v>
      </c>
      <c r="D27" s="67">
        <f t="shared" si="2"/>
        <v>0</v>
      </c>
      <c r="E27" s="178" t="str">
        <f>IF(LEFT(E19,1)="H","Strongly agree",IF(LEFT(E19,1)="C","Strongly disagree","unclear"))</f>
        <v>Strongly disagree</v>
      </c>
      <c r="F27" s="4"/>
    </row>
    <row r="28">
      <c r="B28" s="179" t="s">
        <v>264</v>
      </c>
      <c r="E28" s="180">
        <f>IF(AVERAGE(D23:D27)&gt;=3,25%,IF(AVERAGE(D23:D27)&gt;=2,35%,IF(AVERAGE(D23:D27)&gt;=1,60%,100%)))</f>
        <v>0.6</v>
      </c>
      <c r="F28" s="4"/>
    </row>
    <row r="29">
      <c r="B29" s="177" t="s">
        <v>265</v>
      </c>
      <c r="C29" s="176"/>
    </row>
    <row r="30">
      <c r="B30" s="176" t="s">
        <v>266</v>
      </c>
      <c r="C30" s="176"/>
    </row>
    <row r="31" ht="15.0" customHeight="1">
      <c r="B31" s="64" t="s">
        <v>267</v>
      </c>
      <c r="D31" s="67">
        <f t="shared" ref="D31:D35" si="3">IF(E31="Strongly disagree",0,IF(E31="disagree",1,IF(E31="unclear",2,IF(E31="agree",3,4))))</f>
        <v>1</v>
      </c>
      <c r="E31" s="9" t="s">
        <v>47</v>
      </c>
      <c r="F31" s="4"/>
    </row>
    <row r="32" ht="15.0" customHeight="1">
      <c r="B32" s="64" t="s">
        <v>268</v>
      </c>
      <c r="D32" s="67">
        <f t="shared" si="3"/>
        <v>0</v>
      </c>
      <c r="E32" s="9" t="s">
        <v>76</v>
      </c>
      <c r="F32" s="4"/>
    </row>
    <row r="33" ht="15.0" customHeight="1">
      <c r="B33" s="64" t="s">
        <v>269</v>
      </c>
      <c r="D33" s="67">
        <f t="shared" si="3"/>
        <v>0</v>
      </c>
      <c r="E33" s="9" t="s">
        <v>76</v>
      </c>
      <c r="F33" s="4"/>
    </row>
    <row r="34" ht="15.0" customHeight="1">
      <c r="B34" s="64" t="s">
        <v>270</v>
      </c>
      <c r="D34" s="67">
        <f t="shared" si="3"/>
        <v>3</v>
      </c>
      <c r="E34" s="68" t="s">
        <v>52</v>
      </c>
      <c r="F34" s="4"/>
    </row>
    <row r="35" ht="15.0" customHeight="1">
      <c r="B35" s="64" t="s">
        <v>271</v>
      </c>
      <c r="D35" s="67">
        <f t="shared" si="3"/>
        <v>3</v>
      </c>
      <c r="E35" s="68" t="s">
        <v>52</v>
      </c>
      <c r="F35" s="4"/>
    </row>
    <row r="36">
      <c r="B36" s="176" t="s">
        <v>272</v>
      </c>
      <c r="D36" s="69"/>
      <c r="E36" s="53"/>
      <c r="F36" s="53"/>
    </row>
    <row r="37" ht="15.0" customHeight="1">
      <c r="B37" s="64" t="s">
        <v>273</v>
      </c>
      <c r="D37" s="67">
        <f t="shared" ref="D37:D41" si="4">IF(E37="Strongly disagree",0,IF(E37="disagree",1,IF(E37="unclear",2,IF(E37="agree",3,4))))</f>
        <v>0</v>
      </c>
      <c r="E37" s="9" t="s">
        <v>76</v>
      </c>
      <c r="F37" s="4"/>
    </row>
    <row r="38" ht="15.0" customHeight="1">
      <c r="B38" s="64" t="s">
        <v>274</v>
      </c>
      <c r="D38" s="67">
        <f t="shared" si="4"/>
        <v>1</v>
      </c>
      <c r="E38" s="9" t="s">
        <v>47</v>
      </c>
      <c r="F38" s="4"/>
    </row>
    <row r="39" ht="15.0" customHeight="1">
      <c r="B39" s="64" t="s">
        <v>275</v>
      </c>
      <c r="D39" s="67">
        <f t="shared" si="4"/>
        <v>0</v>
      </c>
      <c r="E39" s="9" t="s">
        <v>76</v>
      </c>
      <c r="F39" s="4"/>
    </row>
    <row r="40">
      <c r="B40" s="64" t="s">
        <v>276</v>
      </c>
      <c r="D40" s="67">
        <f t="shared" si="4"/>
        <v>4</v>
      </c>
      <c r="E40" s="68" t="s">
        <v>49</v>
      </c>
      <c r="F40" s="4"/>
    </row>
    <row r="41">
      <c r="B41" s="64" t="s">
        <v>277</v>
      </c>
      <c r="D41" s="67">
        <f t="shared" si="4"/>
        <v>0</v>
      </c>
      <c r="E41" s="9" t="s">
        <v>76</v>
      </c>
      <c r="F41" s="4"/>
    </row>
    <row r="42">
      <c r="B42" s="176" t="s">
        <v>278</v>
      </c>
      <c r="D42" s="69"/>
      <c r="E42" s="53"/>
      <c r="F42" s="53"/>
    </row>
    <row r="43">
      <c r="B43" s="64" t="s">
        <v>279</v>
      </c>
      <c r="D43" s="67">
        <f t="shared" ref="D43:D47" si="5">IF(E43="Strongly disagree",0,IF(E43="disagree",1,IF(E43="unclear",2,IF(E43="agree",3,4))))</f>
        <v>0</v>
      </c>
      <c r="E43" s="9" t="s">
        <v>76</v>
      </c>
      <c r="F43" s="4"/>
    </row>
    <row r="44">
      <c r="B44" s="64" t="s">
        <v>280</v>
      </c>
      <c r="D44" s="67">
        <f t="shared" si="5"/>
        <v>2</v>
      </c>
      <c r="E44" s="178" t="str">
        <f>IF(Dashboard!H80="Medium","unclear",IF(Dashboard!H80="Very Low","Strongly agree",IF(Dashboard!H80="Low","agree",IF(Dashboard!H80="Very High","Strongly agree","disagree"))))</f>
        <v>unclear</v>
      </c>
      <c r="F44" s="4"/>
    </row>
    <row r="45">
      <c r="B45" s="64" t="s">
        <v>281</v>
      </c>
      <c r="D45" s="67">
        <f t="shared" si="5"/>
        <v>0</v>
      </c>
      <c r="E45" s="9" t="s">
        <v>76</v>
      </c>
      <c r="F45" s="4"/>
    </row>
    <row r="46">
      <c r="B46" s="64" t="s">
        <v>282</v>
      </c>
      <c r="D46" s="67">
        <f t="shared" si="5"/>
        <v>0</v>
      </c>
      <c r="E46" s="68" t="s">
        <v>76</v>
      </c>
      <c r="F46" s="4"/>
    </row>
    <row r="47">
      <c r="B47" s="64" t="s">
        <v>283</v>
      </c>
      <c r="D47" s="67">
        <f t="shared" si="5"/>
        <v>2</v>
      </c>
      <c r="E47" s="68" t="s">
        <v>60</v>
      </c>
      <c r="F47" s="4"/>
    </row>
    <row r="48">
      <c r="B48" s="176" t="s">
        <v>284</v>
      </c>
      <c r="D48" s="69"/>
      <c r="E48" s="53"/>
      <c r="F48" s="53"/>
    </row>
    <row r="49">
      <c r="B49" s="64" t="s">
        <v>285</v>
      </c>
      <c r="D49" s="67">
        <f t="shared" ref="D49:D53" si="6">IF(E49="Strongly disagree",0,IF(E49="disagree",1,IF(E49="unclear",2,IF(E49="agree",3,4))))</f>
        <v>4</v>
      </c>
      <c r="E49" s="9" t="s">
        <v>49</v>
      </c>
      <c r="F49" s="4"/>
    </row>
    <row r="50">
      <c r="B50" s="64" t="s">
        <v>286</v>
      </c>
      <c r="D50" s="67">
        <f t="shared" si="6"/>
        <v>3</v>
      </c>
      <c r="E50" s="9" t="s">
        <v>52</v>
      </c>
      <c r="F50" s="4"/>
    </row>
    <row r="51">
      <c r="B51" s="64" t="s">
        <v>287</v>
      </c>
      <c r="D51" s="67">
        <f t="shared" si="6"/>
        <v>0</v>
      </c>
      <c r="E51" s="9" t="s">
        <v>76</v>
      </c>
      <c r="F51" s="4"/>
    </row>
    <row r="52">
      <c r="B52" s="64" t="s">
        <v>288</v>
      </c>
      <c r="D52" s="67">
        <f t="shared" si="6"/>
        <v>1</v>
      </c>
      <c r="E52" s="9" t="s">
        <v>47</v>
      </c>
      <c r="F52" s="4"/>
    </row>
    <row r="53">
      <c r="B53" s="64" t="s">
        <v>289</v>
      </c>
      <c r="D53" s="67">
        <f t="shared" si="6"/>
        <v>2</v>
      </c>
      <c r="E53" s="68" t="s">
        <v>60</v>
      </c>
      <c r="F53" s="4"/>
    </row>
    <row r="54">
      <c r="B54" s="179" t="s">
        <v>290</v>
      </c>
      <c r="D54" s="65">
        <f>AVERAGE(AVERAGE(D31:D35),AVERAGE(D37:D41),AVERAGE(D43:D47),AVERAGE(D49:D53))/4</f>
        <v>0.325</v>
      </c>
      <c r="E54" s="181" t="str">
        <f>IF(D54&gt;80%,"Very Good",IF(D54&lt;=20%,"Very Poor",IF(D54&lt;=40%,"Poor",IF(D54&lt;=60%,"ok","Good"))))</f>
        <v>Poor</v>
      </c>
      <c r="F54" s="4"/>
    </row>
    <row r="55">
      <c r="B55" s="182" t="s">
        <v>291</v>
      </c>
      <c r="C55" s="64"/>
      <c r="D55" s="183">
        <f>1-D54</f>
        <v>0.675</v>
      </c>
      <c r="E55" s="184">
        <f>(E28-10%)*D55+10%</f>
        <v>0.4375</v>
      </c>
      <c r="F55" s="4"/>
    </row>
  </sheetData>
  <mergeCells count="45">
    <mergeCell ref="E3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3:F23"/>
    <mergeCell ref="E24:F24"/>
    <mergeCell ref="E25:F25"/>
    <mergeCell ref="E26:F26"/>
    <mergeCell ref="E27:F27"/>
    <mergeCell ref="E28:F28"/>
    <mergeCell ref="E31:F31"/>
    <mergeCell ref="E32:F32"/>
    <mergeCell ref="E33:F33"/>
    <mergeCell ref="E34:F34"/>
    <mergeCell ref="E35:F35"/>
    <mergeCell ref="E37:F37"/>
    <mergeCell ref="E38:F38"/>
    <mergeCell ref="E39:F39"/>
    <mergeCell ref="E40:F40"/>
    <mergeCell ref="E41:F41"/>
    <mergeCell ref="E43:F43"/>
    <mergeCell ref="E44:F44"/>
    <mergeCell ref="E53:F53"/>
    <mergeCell ref="E54:F54"/>
    <mergeCell ref="E55:F55"/>
    <mergeCell ref="E45:F45"/>
    <mergeCell ref="E46:F46"/>
    <mergeCell ref="E47:F47"/>
    <mergeCell ref="E49:F49"/>
    <mergeCell ref="E50:F50"/>
    <mergeCell ref="E51:F51"/>
    <mergeCell ref="E52:F52"/>
  </mergeCells>
  <dataValidations>
    <dataValidation type="list" allowBlank="1" sqref="E6">
      <formula1>"Hot - Loose,Cold - Tight,Mixed"</formula1>
    </dataValidation>
    <dataValidation type="list" allowBlank="1" sqref="E9">
      <formula1>"Hot - Low,Cold - High,Mixed"</formula1>
    </dataValidation>
    <dataValidation type="list" allowBlank="1" sqref="E8">
      <formula1>"Hot - Easy,Cold - Restrictive,Mixed"</formula1>
    </dataValidation>
    <dataValidation type="list" allowBlank="1" sqref="E4">
      <formula1>"Hot - Positive,Cold - Negative,Mixed"</formula1>
    </dataValidation>
    <dataValidation type="list" allowBlank="1" sqref="E23:E27 E31:E35 E37:E41 E43 E45:E47 E49:E53">
      <formula1>"Strongly agree,agree,unclear,disagree,Strongly disagree"</formula1>
    </dataValidation>
    <dataValidation type="list" allowBlank="1" sqref="E16">
      <formula1>"Hot - Strong,Cold - Weak,Mixed"</formula1>
    </dataValidation>
    <dataValidation type="list" allowBlank="1" sqref="E12">
      <formula1>"Hot - Happy to hold,Cold - Rushing for the exits,Mixed"</formula1>
    </dataValidation>
    <dataValidation type="list" allowBlank="1" sqref="E13">
      <formula1>"Hot - Few,Cold - Many,Mixed"</formula1>
    </dataValidation>
    <dataValidation type="list" allowBlank="1" sqref="E17">
      <formula1>"Hot - High,Cold - Low,Mixed"</formula1>
    </dataValidation>
    <dataValidation type="list" allowBlank="1" sqref="E18">
      <formula1>"Hot - Aggressiveness,Cold - Caution and discipline,Hot - Broad reach,Cold - Selectivity,Mixed"</formula1>
    </dataValidation>
    <dataValidation type="list" allowBlank="1" sqref="E11">
      <formula1>"Hot - Optimistic,Cold - Pessimistic,Hot - Sanguine,Cold - Distressed,Hot - Eager to buy,Cold - Uninterested in buying,Mixed"</formula1>
    </dataValidation>
    <dataValidation type="list" allowBlank="1" sqref="E5">
      <formula1>"Hot - Eager,Cold - Reticent,Mixed"</formula1>
    </dataValidation>
    <dataValidation type="list" allowBlank="1" sqref="E14">
      <formula1>"Hot - Crowded,Cold - Starved for attention,Mixed"</formula1>
    </dataValidation>
    <dataValidation type="list" allowBlank="1" sqref="E3">
      <formula1>"Hot - Vibrant,Cold - Sluggish,Mixed"</formula1>
    </dataValidation>
    <dataValidation type="list" allowBlank="1" sqref="E15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E7">
      <formula1>"Hot - Plentiful,Cold - Scarce,Mixed"</formula1>
    </dataValidation>
    <dataValidation type="list" allowBlank="1" sqref="E10">
      <formula1>"Hot - Narrow,Cold - Wide,Mixed"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2" max="2" width="25.13"/>
    <col customWidth="1" min="3" max="5" width="17.63"/>
    <col customWidth="1" min="6" max="6" width="7.63"/>
    <col customWidth="1" min="7" max="7" width="17.63"/>
  </cols>
  <sheetData>
    <row r="2">
      <c r="B2" s="124" t="s">
        <v>292</v>
      </c>
      <c r="C2" s="4"/>
      <c r="D2" s="4"/>
    </row>
    <row r="3">
      <c r="B3" s="108" t="s">
        <v>293</v>
      </c>
      <c r="D3" s="185">
        <f>C9-H9</f>
        <v>397674</v>
      </c>
    </row>
    <row r="5">
      <c r="B5" s="108" t="s">
        <v>294</v>
      </c>
      <c r="D5" s="185">
        <f>E9-H9</f>
        <v>189858.3</v>
      </c>
    </row>
    <row r="6">
      <c r="B6" s="108" t="s">
        <v>295</v>
      </c>
      <c r="D6" s="186">
        <f>(D5*Data!F3)/Dashboard!C8</f>
        <v>0.7363015505</v>
      </c>
    </row>
    <row r="8">
      <c r="B8" s="124" t="s">
        <v>296</v>
      </c>
      <c r="C8" s="4"/>
      <c r="D8" s="4"/>
    </row>
    <row r="9">
      <c r="B9" s="108" t="s">
        <v>297</v>
      </c>
      <c r="C9" s="185">
        <f>SUM(C12:C25)</f>
        <v>498973</v>
      </c>
      <c r="E9" s="185">
        <f>SUM(E12:E25)</f>
        <v>291157.3</v>
      </c>
      <c r="G9" s="108" t="s">
        <v>298</v>
      </c>
      <c r="H9" s="185">
        <f>SUM(H12:H20)</f>
        <v>101299</v>
      </c>
    </row>
    <row r="11">
      <c r="B11" s="187" t="s">
        <v>299</v>
      </c>
      <c r="C11" s="188" t="s">
        <v>300</v>
      </c>
      <c r="D11" s="188" t="s">
        <v>301</v>
      </c>
      <c r="E11" s="188" t="s">
        <v>302</v>
      </c>
      <c r="G11" s="187" t="s">
        <v>303</v>
      </c>
      <c r="H11" s="188" t="s">
        <v>300</v>
      </c>
    </row>
    <row r="12">
      <c r="B12" s="108" t="s">
        <v>304</v>
      </c>
      <c r="C12" s="189">
        <v>9046.0</v>
      </c>
      <c r="D12" s="190">
        <v>0.5</v>
      </c>
      <c r="E12" s="191">
        <f t="shared" ref="E12:E16" si="1">C12*D12</f>
        <v>4523</v>
      </c>
      <c r="G12" s="192" t="s">
        <v>305</v>
      </c>
      <c r="H12" s="189">
        <v>2375.0</v>
      </c>
    </row>
    <row r="13">
      <c r="B13" s="192" t="s">
        <v>306</v>
      </c>
      <c r="C13" s="189">
        <v>49173.0</v>
      </c>
      <c r="D13" s="190">
        <v>0.5</v>
      </c>
      <c r="E13" s="191">
        <f t="shared" si="1"/>
        <v>24586.5</v>
      </c>
      <c r="G13" s="108" t="s">
        <v>307</v>
      </c>
      <c r="H13" s="189">
        <v>64859.0</v>
      </c>
    </row>
    <row r="14">
      <c r="B14" s="108" t="s">
        <v>308</v>
      </c>
      <c r="C14" s="189">
        <v>85.0</v>
      </c>
      <c r="D14" s="193">
        <v>1.0</v>
      </c>
      <c r="E14" s="191">
        <f t="shared" si="1"/>
        <v>85</v>
      </c>
      <c r="G14" s="192" t="s">
        <v>309</v>
      </c>
      <c r="H14" s="189">
        <v>9289.0</v>
      </c>
    </row>
    <row r="15">
      <c r="B15" s="192" t="s">
        <v>310</v>
      </c>
      <c r="C15" s="189">
        <v>70093.0</v>
      </c>
      <c r="D15" s="190">
        <v>0.5</v>
      </c>
      <c r="E15" s="191">
        <f t="shared" si="1"/>
        <v>35046.5</v>
      </c>
      <c r="G15" s="108" t="s">
        <v>311</v>
      </c>
      <c r="H15" s="189">
        <v>14149.0</v>
      </c>
    </row>
    <row r="16">
      <c r="B16" s="108" t="s">
        <v>312</v>
      </c>
      <c r="C16" s="189">
        <f>141809+8745</f>
        <v>150554</v>
      </c>
      <c r="D16" s="193">
        <v>1.0</v>
      </c>
      <c r="E16" s="191">
        <f t="shared" si="1"/>
        <v>150554</v>
      </c>
    </row>
    <row r="17">
      <c r="G17" s="108" t="s">
        <v>313</v>
      </c>
      <c r="H17" s="189">
        <v>0.0</v>
      </c>
    </row>
    <row r="18">
      <c r="B18" s="108" t="s">
        <v>314</v>
      </c>
      <c r="C18" s="189">
        <v>166598.0</v>
      </c>
      <c r="D18" s="193">
        <v>0.3</v>
      </c>
      <c r="E18" s="191">
        <f t="shared" ref="E18:E25" si="2">C18*D18</f>
        <v>49979.4</v>
      </c>
      <c r="G18" s="108" t="s">
        <v>315</v>
      </c>
      <c r="H18" s="189">
        <v>0.0</v>
      </c>
    </row>
    <row r="19">
      <c r="B19" s="108" t="s">
        <v>316</v>
      </c>
      <c r="C19" s="189">
        <v>40478.0</v>
      </c>
      <c r="D19" s="190">
        <v>0.5</v>
      </c>
      <c r="E19" s="191">
        <f t="shared" si="2"/>
        <v>20239</v>
      </c>
      <c r="G19" s="108" t="s">
        <v>317</v>
      </c>
      <c r="H19" s="189">
        <v>10107.0</v>
      </c>
    </row>
    <row r="20">
      <c r="B20" s="108" t="s">
        <v>318</v>
      </c>
      <c r="C20" s="189">
        <v>10723.0</v>
      </c>
      <c r="D20" s="190">
        <v>0.5</v>
      </c>
      <c r="E20" s="191">
        <f t="shared" si="2"/>
        <v>5361.5</v>
      </c>
      <c r="G20" s="108" t="s">
        <v>319</v>
      </c>
      <c r="H20" s="192">
        <v>520.0</v>
      </c>
    </row>
    <row r="21">
      <c r="B21" s="108" t="s">
        <v>320</v>
      </c>
      <c r="C21" s="189">
        <v>0.0</v>
      </c>
      <c r="D21" s="190">
        <v>0.0</v>
      </c>
      <c r="E21" s="191">
        <f t="shared" si="2"/>
        <v>0</v>
      </c>
    </row>
    <row r="22">
      <c r="B22" s="108" t="s">
        <v>321</v>
      </c>
      <c r="C22" s="189">
        <v>0.0</v>
      </c>
      <c r="D22" s="190">
        <v>0.0</v>
      </c>
      <c r="E22" s="191">
        <f t="shared" si="2"/>
        <v>0</v>
      </c>
    </row>
    <row r="23">
      <c r="B23" s="108" t="s">
        <v>322</v>
      </c>
      <c r="C23" s="189">
        <v>165.0</v>
      </c>
      <c r="D23" s="193">
        <v>1.0</v>
      </c>
      <c r="E23" s="191">
        <f t="shared" si="2"/>
        <v>165</v>
      </c>
    </row>
    <row r="24">
      <c r="B24" s="108" t="s">
        <v>323</v>
      </c>
      <c r="C24" s="189">
        <v>0.0</v>
      </c>
      <c r="D24" s="193">
        <v>0.85</v>
      </c>
      <c r="E24" s="191">
        <f t="shared" si="2"/>
        <v>0</v>
      </c>
    </row>
    <row r="25">
      <c r="B25" s="108" t="s">
        <v>324</v>
      </c>
      <c r="C25" s="189">
        <v>2058.0</v>
      </c>
      <c r="D25" s="190">
        <v>0.3</v>
      </c>
      <c r="E25" s="191">
        <f t="shared" si="2"/>
        <v>617.4</v>
      </c>
    </row>
  </sheetData>
  <mergeCells count="2">
    <mergeCell ref="B2:D2"/>
    <mergeCell ref="B8:D8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2022-08-10T03:52:42Z</dcterms:created>
  <dc:creator>Jerry.chen</dc:creator>
</cp:coreProperties>
</file>