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Data" sheetId="2" r:id="rId5"/>
    <sheet state="visible" name="Bear Model" sheetId="3" r:id="rId6"/>
    <sheet state="visible" name="Base Model" sheetId="4" r:id="rId7"/>
    <sheet state="visible" name="Bull Model" sheetId="5" r:id="rId8"/>
  </sheets>
  <definedNames>
    <definedName localSheetId="3" name="Terminal_Wacc">'Base Model'!$F$5</definedName>
    <definedName name="EXP_EbitGrowth">#REF!</definedName>
    <definedName localSheetId="4" name="Terminal_Wacc">'Bull Model'!$F$5</definedName>
    <definedName name="ModelYear">#REF!</definedName>
    <definedName localSheetId="2" name="Terminal_EbitGrowth">'Bear Model'!$F$4</definedName>
    <definedName localSheetId="3" name="Model_EbitGrowth">'Base Model'!$C$15:$L$15</definedName>
    <definedName localSheetId="4" name="ModelYear">'Bull Model'!$C$8:$L$8</definedName>
    <definedName localSheetId="3" name="Terminal_EbitGrowth">'Base Model'!$F$4</definedName>
    <definedName name="Terminal_EbitGrowth">#REF!</definedName>
    <definedName localSheetId="3" name="EXP_Wacc">'Base Model'!$B$5</definedName>
    <definedName name="EXP_CAP">#REF!</definedName>
    <definedName localSheetId="3" name="Model_NOPAT">'Base Model'!$C$18:$L$18</definedName>
    <definedName localSheetId="2" name="Terminal_Wacc">'Bear Model'!$F$5</definedName>
    <definedName name="Terminal_Reinvest">#REF!</definedName>
    <definedName name="CurrentAsset">#REF!</definedName>
    <definedName name="CurrentLiabilities">#REF!</definedName>
    <definedName name="MV_NonOpAssets">Data!$F$81</definedName>
    <definedName name="Model_EbitGrowth">#REF!</definedName>
    <definedName localSheetId="2" name="Terminal_Reinvest">#REF!</definedName>
    <definedName localSheetId="4" name="Terminal_EbitGrowth">'Bull Model'!$F$4</definedName>
    <definedName localSheetId="4" name="Model_NOPAT">'Bull Model'!$C$18:$L$18</definedName>
    <definedName name="EbitRange">#REF!</definedName>
    <definedName localSheetId="2" name="EXP_Reinvest">'Bear Model'!$B$4</definedName>
    <definedName localSheetId="3" name="EXP_CAP">'Base Model'!$J$4</definedName>
    <definedName localSheetId="3" name="Model_FCFF">'Base Model'!$C$25:$L$25</definedName>
    <definedName name="NetCapexRange">#REF!</definedName>
    <definedName name="Model_FCFF">#REF!</definedName>
    <definedName localSheetId="3" name="ModelYear">'Base Model'!$C$8:$L$8</definedName>
    <definedName name="Terminal_Wacc">#REF!</definedName>
    <definedName name="EquityRange">#REF!</definedName>
    <definedName localSheetId="2" name="EXP_Wacc">'Bear Model'!$B$5</definedName>
    <definedName name="Model_NOPAT">#REF!</definedName>
    <definedName localSheetId="4" name="Model_FCFF">'Bull Model'!$C$25:$L$25</definedName>
    <definedName localSheetId="2" name="Model_FCFF">'Bear Model'!$C$25:$L$25</definedName>
    <definedName localSheetId="4" name="EXP_CAP">'Bull Model'!$J$4</definedName>
    <definedName localSheetId="2" name="ModelYear">'Bear Model'!$C$8:$L$8</definedName>
    <definedName name="EXP_Reinvest">#REF!</definedName>
    <definedName localSheetId="2" name="EXP_CAP">'Bear Model'!$J$4</definedName>
    <definedName localSheetId="3" name="EXP_EbitGrowth">#REF!</definedName>
    <definedName name="EXP_Wacc">#REF!</definedName>
    <definedName localSheetId="4" name="EXP_Wacc">'Bull Model'!$B$5</definedName>
    <definedName name="CashRange">#REF!</definedName>
    <definedName localSheetId="4" name="Model_EbitGrowth">'Bull Model'!$C$15:$L$15</definedName>
    <definedName localSheetId="2" name="Model_NOPAT">'Bear Model'!$C$18:$L$18</definedName>
    <definedName localSheetId="2" name="Model_EbitGrowth">'Bear Model'!$C$15:$L$15</definedName>
    <definedName name="DebtRange">#REF!</definedName>
    <definedName name="Cs_Shares">Dashboard!$C$7</definedName>
    <definedName localSheetId="3" name="EXP_Reinvest">'Base Model'!$B$4</definedName>
    <definedName localSheetId="4" name="EXP_Reinvest">'Bull Model'!$B$4</definedName>
    <definedName localSheetId="2" name="EXP_EbitGrowth">#REF!</definedName>
    <definedName localSheetId="4" name="EXP_EbitGrowth">#REF!</definedName>
  </definedNames>
  <calcPr/>
</workbook>
</file>

<file path=xl/sharedStrings.xml><?xml version="1.0" encoding="utf-8"?>
<sst xmlns="http://schemas.openxmlformats.org/spreadsheetml/2006/main" count="472" uniqueCount="283">
  <si>
    <t>Company Info:</t>
  </si>
  <si>
    <t>Ticker:</t>
  </si>
  <si>
    <t>603288</t>
  </si>
  <si>
    <t>Ticker Name:</t>
  </si>
  <si>
    <t>海天味业</t>
  </si>
  <si>
    <t>Valuation Date:</t>
  </si>
  <si>
    <t>Listing Location:</t>
  </si>
  <si>
    <t>CN</t>
  </si>
  <si>
    <t>Current Price:</t>
  </si>
  <si>
    <t>CNY</t>
  </si>
  <si>
    <t>Number of Shares:</t>
  </si>
  <si>
    <t>Capitalization:</t>
  </si>
  <si>
    <t>P/E Ratio:</t>
  </si>
  <si>
    <t>Discount Rate Assumptions</t>
  </si>
  <si>
    <t>P/B Ratio:</t>
  </si>
  <si>
    <t>Risk-free Rate</t>
  </si>
  <si>
    <t>Reporting Currency:</t>
  </si>
  <si>
    <t>Discount rate during CAP</t>
  </si>
  <si>
    <t>Exchange Rate:</t>
  </si>
  <si>
    <t>Discount rate after CAP</t>
  </si>
  <si>
    <t>Valuation Output:</t>
  </si>
  <si>
    <t>Bear</t>
  </si>
  <si>
    <t>Base</t>
  </si>
  <si>
    <t>Bull</t>
  </si>
  <si>
    <t>Length of CAP =</t>
  </si>
  <si>
    <t>EBIT growth rate =</t>
  </si>
  <si>
    <t>Reinvestment Rate =</t>
  </si>
  <si>
    <t>After-Tax ROC =</t>
  </si>
  <si>
    <t>Expected price per share (EP) =</t>
  </si>
  <si>
    <t xml:space="preserve">Margin of Safety = </t>
  </si>
  <si>
    <t>EP after margin of safety =</t>
  </si>
  <si>
    <t>Implied P/E =</t>
  </si>
  <si>
    <t>Estimated Purchase Price</t>
  </si>
  <si>
    <t>IRR given 2 yrs holding period</t>
  </si>
  <si>
    <t>// Exit at Expected Price per share</t>
  </si>
  <si>
    <t>Valuation Assumptions:</t>
  </si>
  <si>
    <t>Business Category</t>
  </si>
  <si>
    <t>业务属于Fast Grower, 未来应为Cyclical and slow grower。</t>
  </si>
  <si>
    <t>Base Case</t>
  </si>
  <si>
    <t>Cyclical market with lower-than-before growth</t>
  </si>
  <si>
    <t>Bear Case</t>
  </si>
  <si>
    <t>Cyclical market with low growth</t>
  </si>
  <si>
    <t>Bull Case</t>
  </si>
  <si>
    <t>Cyclical market with fast growth</t>
  </si>
  <si>
    <t>CAP</t>
  </si>
  <si>
    <t>Stable</t>
  </si>
  <si>
    <t>Value Drivers</t>
  </si>
  <si>
    <t>Base year</t>
  </si>
  <si>
    <t>Length of CAP</t>
  </si>
  <si>
    <t>Operating margin</t>
  </si>
  <si>
    <t>EBIT Growth</t>
  </si>
  <si>
    <t>After-tax ROC</t>
  </si>
  <si>
    <t>After-tax Reinvestment Rate</t>
  </si>
  <si>
    <t>Competitive enviroment analysis to estimate CAP</t>
  </si>
  <si>
    <t>Use the Porter's Five Forces Analysis to estimate the length of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</si>
  <si>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</si>
  <si>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</si>
  <si>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</si>
  <si>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</si>
  <si>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</si>
  <si>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agree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</si>
  <si>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</si>
  <si>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</si>
  <si>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</si>
  <si>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disagree</t>
  </si>
  <si>
    <t>6. There are equal access to distribution channels.</t>
  </si>
  <si>
    <t>7. There is no restrictive government policy.</t>
  </si>
  <si>
    <t>Strongly agree</t>
  </si>
  <si>
    <t>8. There is little "real" brand barriers. (like the trust in brands in food industry)</t>
  </si>
  <si>
    <t>unclear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</si>
  <si>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</si>
  <si>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</si>
  <si>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</si>
  <si>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</si>
  <si>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</si>
  <si>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</si>
  <si>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</si>
  <si>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</si>
  <si>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</si>
  <si>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</si>
  <si>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</si>
  <si>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</si>
  <si>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</si>
  <si>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</si>
  <si>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</si>
  <si>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</si>
  <si>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</si>
  <si>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</si>
  <si>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</si>
  <si>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</si>
  <si>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</si>
  <si>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</si>
  <si>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</si>
  <si>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</si>
  <si>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</si>
  <si>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</si>
  <si>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</si>
  <si>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</si>
  <si>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</si>
  <si>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perishable.</t>
  </si>
  <si>
    <t>Conclusion: the Industry Competition level is</t>
  </si>
  <si>
    <t>Length of the CAP suggested by the Porter's Five Forces</t>
  </si>
  <si>
    <t>Margin of Safety Recommendation</t>
  </si>
  <si>
    <t>PART I: Valuation Error &amp; Volatility</t>
  </si>
  <si>
    <t>1. Is the business simple and understandable?</t>
  </si>
  <si>
    <t>2. Does the company have low financial leverage?</t>
  </si>
  <si>
    <t>3. Does the company have few error-probed valuation issues (like debt, MI, options, stocks) ?</t>
  </si>
  <si>
    <t>4. Does the company have low frequency and high serverity operational risk?</t>
  </si>
  <si>
    <t>5. Does the company have a large capitalization, high popularity (like Tencent/Apple), and good dividend?</t>
  </si>
  <si>
    <t>There is an assumed minimium 10% Valuation Error, and the maximium margin of safty is estimated to be</t>
  </si>
  <si>
    <t>PART II: Quality Score</t>
  </si>
  <si>
    <t>a. Business Tenets:</t>
  </si>
  <si>
    <t>1. Does the company have a consistent operating and earning history?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</si>
  <si>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</si>
  <si>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</si>
  <si>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</si>
  <si>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5. Does the company have a good opeartional risk management history?</t>
  </si>
  <si>
    <t>b. Financial Tenets:</t>
  </si>
  <si>
    <t>1. Are the profit margins attractive (better than industry)?</t>
  </si>
  <si>
    <t xml:space="preserve">2. Can current operations be maintained without too much need to spend? </t>
  </si>
  <si>
    <t>3. Can cash be reinvested at attractive compound rates?</t>
  </si>
  <si>
    <t>4. Is the company's balance sheet strong?</t>
  </si>
  <si>
    <t>5. Does the company have low working capital requirements and fast cash conversion cycle?</t>
  </si>
  <si>
    <t>c. Market Tenets:</t>
  </si>
  <si>
    <t xml:space="preserve">1. Is the company free to adjust prices to inflation? </t>
  </si>
  <si>
    <t>2. Is the company enjoying limited competition?</t>
  </si>
  <si>
    <t>3. Is the company operating in a good industry (structurally more profitable, not driven primarily by price, etc)?</t>
  </si>
  <si>
    <t>4. Is the company less susceptible to econmoic cycle?</t>
  </si>
  <si>
    <t>5. Does the company have a positive ESG value?</t>
  </si>
  <si>
    <t>d. Management Tenets:</t>
  </si>
  <si>
    <t>1. Is the company operated by Owner Operator who is the most knowledgeble and passionate about business?</t>
  </si>
  <si>
    <t>2. Are managers clear and consistent in their communications and actions with stakeholders?</t>
  </si>
  <si>
    <t>3. Has management resisted the temptation to grow quickly by merger?</t>
  </si>
  <si>
    <t>4. Have the managers been buying the stock? Has the company resist buying back stock opportunistically?</t>
  </si>
  <si>
    <t>5. Are managers positively motivated to benefit all stakeholders?</t>
  </si>
  <si>
    <t>the Quality Score estimated to be</t>
  </si>
  <si>
    <t xml:space="preserve">The margin of Safety Recomended is </t>
  </si>
  <si>
    <t>Company statement Inputs</t>
  </si>
  <si>
    <t>Year of the last 10k =</t>
  </si>
  <si>
    <t>Figures in =</t>
  </si>
  <si>
    <t>Last Report =</t>
  </si>
  <si>
    <t>FY</t>
  </si>
  <si>
    <t>LTM Net Income:</t>
  </si>
  <si>
    <t>Sales</t>
  </si>
  <si>
    <t>Sales Growth Rate</t>
  </si>
  <si>
    <t>BV EBIT</t>
  </si>
  <si>
    <t>EBIT Margin</t>
  </si>
  <si>
    <t>NOPAT</t>
  </si>
  <si>
    <t>Interest Expense</t>
  </si>
  <si>
    <t>Effective Tax Rate</t>
  </si>
  <si>
    <t>NI attributed to MI</t>
  </si>
  <si>
    <t>Current Asset</t>
  </si>
  <si>
    <t>Current Liabilities</t>
  </si>
  <si>
    <t>Short Term Interest-bearing Debt</t>
  </si>
  <si>
    <t>Long Term Interest-bearing Debt</t>
  </si>
  <si>
    <t>Interest-bearing Debt</t>
  </si>
  <si>
    <t>Equity</t>
  </si>
  <si>
    <t>BV of Minority interests</t>
  </si>
  <si>
    <t>Cash, Cash Equivalents &amp;STI</t>
  </si>
  <si>
    <t>Non-operating Assets</t>
  </si>
  <si>
    <t>Invested Capital (IC)</t>
  </si>
  <si>
    <t>Net Capex = PP&amp;E Diff.</t>
  </si>
  <si>
    <t>Net Capex/Sales</t>
  </si>
  <si>
    <t>D&amp;A</t>
  </si>
  <si>
    <t>Capex</t>
  </si>
  <si>
    <t>Realized G/L of long-term assets</t>
  </si>
  <si>
    <t>FCInv</t>
  </si>
  <si>
    <t>WC</t>
  </si>
  <si>
    <t>WCInv</t>
  </si>
  <si>
    <t>WC/Sales</t>
  </si>
  <si>
    <t>Reinvestment</t>
  </si>
  <si>
    <t>Modified Dupont Analysis</t>
  </si>
  <si>
    <t>NOPAT Margin</t>
  </si>
  <si>
    <t>IC Turnover Ratio</t>
  </si>
  <si>
    <t>ROIC</t>
  </si>
  <si>
    <t>Financial Leverage &amp; WC</t>
  </si>
  <si>
    <t>Long-term Debt / Equity</t>
  </si>
  <si>
    <t>Total Debt / Equity</t>
  </si>
  <si>
    <t>EBITDA / Total Debt</t>
  </si>
  <si>
    <t>Current Ratio</t>
  </si>
  <si>
    <t>Data Adjustments</t>
  </si>
  <si>
    <t>1. EBIT Adjustment</t>
  </si>
  <si>
    <t>Perpetual EBIT growth rate =</t>
  </si>
  <si>
    <t>Base year EBIT Adj. approach =</t>
  </si>
  <si>
    <t>No Adjustment</t>
  </si>
  <si>
    <t>1. No Adjustment</t>
  </si>
  <si>
    <t>2. Average after-tax ROIC</t>
  </si>
  <si>
    <t>3. Direct Input</t>
  </si>
  <si>
    <t>2. Effective and Marginal Tax rate</t>
  </si>
  <si>
    <t>Marginal Tax rate</t>
  </si>
  <si>
    <t>Effective Tax rate Adj. approach =</t>
  </si>
  <si>
    <t>2. Average Effective Tax Rate</t>
  </si>
  <si>
    <t>3. Direct Input (assume marginal tax rate)</t>
  </si>
  <si>
    <t>3. After-tax ROIC</t>
  </si>
  <si>
    <t>1. No Adjustement</t>
  </si>
  <si>
    <t>2. Historical average</t>
  </si>
  <si>
    <t>4. WC/Sales</t>
  </si>
  <si>
    <t>Adj. approach =</t>
  </si>
  <si>
    <t>2. Average WC/Sales</t>
  </si>
  <si>
    <t>5. Market Value of the Debt and Options</t>
  </si>
  <si>
    <t>MV of the Debt</t>
  </si>
  <si>
    <t>MV of the Options</t>
  </si>
  <si>
    <t>6. Market Value of the Non-operating Assets</t>
  </si>
  <si>
    <t>BV of Non-operating Assets = MV?</t>
  </si>
  <si>
    <t>Yes</t>
  </si>
  <si>
    <t>1. BV of Non-operating Assets = MV</t>
  </si>
  <si>
    <t>2. Direct Input</t>
  </si>
  <si>
    <t>7. Market Value of Minority Interests</t>
  </si>
  <si>
    <t>Estimated MV of the MI =</t>
  </si>
  <si>
    <t>BV of the MI</t>
  </si>
  <si>
    <t>1. BV of the MI</t>
  </si>
  <si>
    <t>3. P/E Approach</t>
  </si>
  <si>
    <t>2. P/B Approach</t>
  </si>
  <si>
    <t>4. Direct Input</t>
  </si>
  <si>
    <t>8. R&amp;D Adjustment</t>
  </si>
  <si>
    <t>Capitalize R&amp;D expenses?</t>
  </si>
  <si>
    <t>To amortize R&amp;D expenses in</t>
  </si>
  <si>
    <t>Year</t>
  </si>
  <si>
    <t>R&amp;D Expense</t>
  </si>
  <si>
    <t>Unamortized portion</t>
  </si>
  <si>
    <t>Amortization this year</t>
  </si>
  <si>
    <t>Value of Research Asset =</t>
  </si>
  <si>
    <t>Amortization of Asset for current year =</t>
  </si>
  <si>
    <t>Without capitalizing</t>
  </si>
  <si>
    <t>With capitalizing</t>
  </si>
  <si>
    <t>Operating income</t>
  </si>
  <si>
    <t>Industry</t>
  </si>
  <si>
    <t>Amortization Period</t>
  </si>
  <si>
    <t>Net Income</t>
  </si>
  <si>
    <t>Non-technological Service</t>
  </si>
  <si>
    <t>2 years</t>
  </si>
  <si>
    <t>Invested capital</t>
  </si>
  <si>
    <t>Retail, Tech Service</t>
  </si>
  <si>
    <t>3 years</t>
  </si>
  <si>
    <t>After-tax ROIC</t>
  </si>
  <si>
    <t>Light Manufacturing</t>
  </si>
  <si>
    <t>5 years</t>
  </si>
  <si>
    <t>Heavy  Manufacturing</t>
  </si>
  <si>
    <t>10 years</t>
  </si>
  <si>
    <t>Research, with Patenting</t>
  </si>
  <si>
    <t>Long Gestation Period</t>
  </si>
  <si>
    <t>Net Capex</t>
  </si>
  <si>
    <t>Valuation Output</t>
  </si>
  <si>
    <t>Value Drivers (Scenario Inputs)</t>
  </si>
  <si>
    <t>CAP Drivers</t>
  </si>
  <si>
    <t>Stable Growth Drivers</t>
  </si>
  <si>
    <t>CAP Estimates</t>
  </si>
  <si>
    <t>WC/Sales =</t>
  </si>
  <si>
    <t>Discount Rate =</t>
  </si>
  <si>
    <t>Adjust discount rate at year</t>
  </si>
  <si>
    <t>Output Summary</t>
  </si>
  <si>
    <t>The FCFF for the high growth phase are shown below (upto 10 years)</t>
  </si>
  <si>
    <t>Terminal Year</t>
  </si>
  <si>
    <t>Invested Capital</t>
  </si>
  <si>
    <t>Revenue growth rate</t>
  </si>
  <si>
    <t>Revenue</t>
  </si>
  <si>
    <t>EBIT margin</t>
  </si>
  <si>
    <t>Marginal ROC</t>
  </si>
  <si>
    <t>ROC Exisiting</t>
  </si>
  <si>
    <t>EBIT growth rate</t>
  </si>
  <si>
    <t>EBIT (Operating income)</t>
  </si>
  <si>
    <t>Tax rate</t>
  </si>
  <si>
    <t>Reinvestment rate</t>
  </si>
  <si>
    <t>FCFF</t>
  </si>
  <si>
    <t>Discount Rate</t>
  </si>
  <si>
    <t>Cumulated Discount factor</t>
  </si>
  <si>
    <t>PV of FCFF</t>
  </si>
  <si>
    <t>FCFF Valuation</t>
  </si>
  <si>
    <t>% Value</t>
  </si>
  <si>
    <t>Values</t>
  </si>
  <si>
    <t>+ PV of FCFF during CAP =</t>
  </si>
  <si>
    <t>+ PV of Terminal Value =</t>
  </si>
  <si>
    <t>+ Non-Operating Asset + Cash</t>
  </si>
  <si>
    <t>Value of Firm =</t>
  </si>
  <si>
    <t>- MV of outstanding debt =</t>
  </si>
  <si>
    <t>Value of Equity =</t>
  </si>
  <si>
    <t>- MV of Minority Interests</t>
  </si>
  <si>
    <t>- MV of Options</t>
  </si>
  <si>
    <t>Value of Equity in Common Stock =</t>
  </si>
  <si>
    <t>Value of equity per share =</t>
  </si>
  <si>
    <t>Valuation Verdict:</t>
  </si>
  <si>
    <t>Given the Current Stock price =</t>
  </si>
  <si>
    <t>,the company 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</si>
</sst>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#,##0&quot;mm&quot;"/>
    <numFmt numFmtId="166" formatCode="0 &quot;Years&quot;"/>
  </numFmts>
  <fonts count="37">
    <font>
      <sz val="10.0"/>
      <color rgb="FF000000"/>
      <name val="Arial"/>
      <scheme val="minor"/>
    </font>
    <font>
      <b/>
      <color rgb="FFFFFFFF"/>
      <name val="Arial"/>
    </font>
    <font>
      <b/>
      <color theme="1"/>
      <name val="Arial"/>
    </font>
    <font>
      <color rgb="FFFFFFFF"/>
      <name val="Arial"/>
    </font>
    <font>
      <color rgb="FF0000FF"/>
      <name val="Arial"/>
    </font>
    <font/>
    <font>
      <color theme="1"/>
      <name val="Arial"/>
    </font>
    <font>
      <color rgb="FF000000"/>
      <name val="Arial"/>
    </font>
    <font>
      <color theme="0"/>
      <name val="Arial"/>
      <scheme val="minor"/>
    </font>
    <font>
      <color theme="0"/>
      <name val="Arial"/>
    </font>
    <font>
      <color rgb="FFA61C00"/>
      <name val="Arial"/>
    </font>
    <font>
      <i/>
      <color theme="1"/>
      <name val="Arial"/>
    </font>
    <font>
      <i/>
      <color rgb="FF000000"/>
      <name val="Arial"/>
    </font>
    <font>
      <b/>
      <i/>
      <color rgb="FF000000"/>
      <name val="Arial"/>
    </font>
    <font>
      <i/>
      <color theme="1"/>
      <name val="Arial"/>
      <scheme val="minor"/>
    </font>
    <font>
      <i/>
      <color rgb="FFFFFFFF"/>
      <name val="Arial"/>
    </font>
    <font>
      <b/>
      <i/>
      <u/>
      <color theme="1"/>
      <name val="Arial"/>
    </font>
    <font>
      <b/>
      <i/>
      <color theme="1"/>
      <name val="Arial"/>
    </font>
    <font>
      <b/>
      <i/>
      <u/>
      <color theme="1"/>
      <name val="Arial"/>
    </font>
    <font>
      <b/>
      <color rgb="FF000000"/>
      <name val="Roboto"/>
    </font>
    <font>
      <b/>
      <color theme="1"/>
      <name val="Arial"/>
      <scheme val="minor"/>
    </font>
    <font>
      <color rgb="FFCC4125"/>
      <name val="Arial"/>
    </font>
    <font>
      <color theme="1"/>
      <name val="Arial"/>
      <scheme val="minor"/>
    </font>
    <font>
      <color rgb="FFE06666"/>
      <name val="Arial"/>
    </font>
    <font>
      <color theme="0"/>
      <name val="Helvetica Neue"/>
    </font>
    <font>
      <color theme="1"/>
      <name val="Helvetica Neue"/>
    </font>
    <font>
      <sz val="9.0"/>
      <color theme="0"/>
      <name val="Arial"/>
    </font>
    <font>
      <sz val="9.0"/>
      <color theme="1"/>
      <name val="Arial"/>
    </font>
    <font>
      <i/>
      <u/>
      <sz val="9.0"/>
      <color theme="1"/>
      <name val="Calibri"/>
    </font>
    <font>
      <i/>
      <u/>
      <sz val="9.0"/>
      <color theme="1"/>
      <name val="Calibri"/>
    </font>
    <font>
      <sz val="9.0"/>
      <color theme="1"/>
      <name val="Calibri"/>
    </font>
    <font>
      <sz val="10.0"/>
      <color theme="1"/>
      <name val="Arial"/>
    </font>
    <font>
      <u/>
      <color theme="1"/>
      <name val="Arial"/>
    </font>
    <font>
      <i/>
      <u/>
      <color theme="1"/>
      <name val="Arial"/>
    </font>
    <font>
      <i/>
      <sz val="9.0"/>
      <color rgb="FFFFFFFF"/>
      <name val="Arial"/>
    </font>
    <font>
      <u/>
      <color theme="1"/>
      <name val="Arial"/>
    </font>
    <font>
      <u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B6D7A8"/>
        <bgColor rgb="FFB6D7A8"/>
      </patternFill>
    </fill>
    <fill>
      <patternFill patternType="solid">
        <fgColor rgb="FF3C78D8"/>
        <bgColor rgb="FF3C78D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1C4587"/>
        <bgColor rgb="FF1C4587"/>
      </patternFill>
    </fill>
    <fill>
      <patternFill patternType="solid">
        <fgColor theme="0"/>
        <bgColor theme="0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double">
        <color rgb="FF000000"/>
      </bottom>
    </border>
    <border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horizontal="center"/>
    </xf>
    <xf borderId="1" fillId="4" fontId="3" numFmtId="0" xfId="0" applyBorder="1" applyFill="1" applyFont="1"/>
    <xf borderId="2" fillId="5" fontId="4" numFmtId="49" xfId="0" applyAlignment="1" applyBorder="1" applyFill="1" applyFont="1" applyNumberFormat="1">
      <alignment horizontal="center" readingOrder="0"/>
    </xf>
    <xf borderId="3" fillId="0" fontId="5" numFmtId="0" xfId="0" applyBorder="1" applyFont="1"/>
    <xf borderId="4" fillId="4" fontId="3" numFmtId="0" xfId="0" applyBorder="1" applyFont="1"/>
    <xf borderId="0" fillId="5" fontId="4" numFmtId="0" xfId="0" applyAlignment="1" applyFont="1">
      <alignment horizontal="center" readingOrder="0"/>
    </xf>
    <xf borderId="5" fillId="0" fontId="5" numFmtId="0" xfId="0" applyBorder="1" applyFont="1"/>
    <xf borderId="6" fillId="4" fontId="3" numFmtId="0" xfId="0" applyBorder="1" applyFont="1"/>
    <xf borderId="7" fillId="5" fontId="4" numFmtId="164" xfId="0" applyAlignment="1" applyBorder="1" applyFont="1" applyNumberFormat="1">
      <alignment horizontal="center" readingOrder="0"/>
    </xf>
    <xf borderId="8" fillId="0" fontId="5" numFmtId="0" xfId="0" applyBorder="1" applyFont="1"/>
    <xf borderId="2" fillId="5" fontId="4" numFmtId="0" xfId="0" applyAlignment="1" applyBorder="1" applyFont="1">
      <alignment horizontal="center" readingOrder="0"/>
    </xf>
    <xf borderId="0" fillId="3" fontId="6" numFmtId="0" xfId="0" applyAlignment="1" applyFont="1">
      <alignment horizontal="right" readingOrder="0"/>
    </xf>
    <xf borderId="5" fillId="3" fontId="6" numFmtId="0" xfId="0" applyAlignment="1" applyBorder="1" applyFont="1">
      <alignment horizontal="center" readingOrder="0"/>
    </xf>
    <xf borderId="0" fillId="5" fontId="4" numFmtId="3" xfId="0" applyAlignment="1" applyFont="1" applyNumberFormat="1">
      <alignment horizontal="center" readingOrder="0"/>
    </xf>
    <xf borderId="0" fillId="3" fontId="7" numFmtId="165" xfId="0" applyAlignment="1" applyFont="1" applyNumberFormat="1">
      <alignment horizontal="center"/>
    </xf>
    <xf borderId="2" fillId="3" fontId="6" numFmtId="4" xfId="0" applyAlignment="1" applyBorder="1" applyFont="1" applyNumberFormat="1">
      <alignment horizontal="center"/>
    </xf>
    <xf borderId="0" fillId="2" fontId="8" numFmtId="0" xfId="0" applyAlignment="1" applyFont="1">
      <alignment readingOrder="0"/>
    </xf>
    <xf borderId="0" fillId="2" fontId="8" numFmtId="0" xfId="0" applyFont="1"/>
    <xf borderId="7" fillId="3" fontId="6" numFmtId="4" xfId="0" applyAlignment="1" applyBorder="1" applyFont="1" applyNumberFormat="1">
      <alignment horizontal="center"/>
    </xf>
    <xf borderId="0" fillId="4" fontId="9" numFmtId="0" xfId="0" applyFont="1"/>
    <xf borderId="0" fillId="4" fontId="8" numFmtId="0" xfId="0" applyFont="1"/>
    <xf borderId="9" fillId="5" fontId="4" numFmtId="10" xfId="0" applyAlignment="1" applyBorder="1" applyFont="1" applyNumberFormat="1">
      <alignment horizontal="center"/>
    </xf>
    <xf borderId="0" fillId="0" fontId="10" numFmtId="0" xfId="0" applyFont="1"/>
    <xf borderId="7" fillId="3" fontId="6" numFmtId="0" xfId="0" applyAlignment="1" applyBorder="1" applyFont="1">
      <alignment horizontal="right"/>
    </xf>
    <xf borderId="8" fillId="3" fontId="6" numFmtId="0" xfId="0" applyAlignment="1" applyBorder="1" applyFont="1">
      <alignment horizontal="center"/>
    </xf>
    <xf borderId="0" fillId="6" fontId="6" numFmtId="0" xfId="0" applyFill="1" applyFont="1"/>
    <xf borderId="10" fillId="2" fontId="3" numFmtId="0" xfId="0" applyAlignment="1" applyBorder="1" applyFont="1">
      <alignment horizontal="center"/>
    </xf>
    <xf borderId="11" fillId="0" fontId="5" numFmtId="0" xfId="0" applyBorder="1" applyFont="1"/>
    <xf borderId="0" fillId="4" fontId="3" numFmtId="0" xfId="0" applyFont="1"/>
    <xf borderId="10" fillId="3" fontId="11" numFmtId="0" xfId="0" applyAlignment="1" applyBorder="1" applyFont="1">
      <alignment horizontal="center"/>
    </xf>
    <xf borderId="10" fillId="3" fontId="11" numFmtId="10" xfId="0" applyAlignment="1" applyBorder="1" applyFont="1" applyNumberFormat="1">
      <alignment horizontal="center"/>
    </xf>
    <xf borderId="0" fillId="4" fontId="3" numFmtId="0" xfId="0" applyAlignment="1" applyFont="1">
      <alignment horizontal="left" readingOrder="0"/>
    </xf>
    <xf borderId="10" fillId="7" fontId="2" numFmtId="2" xfId="0" applyAlignment="1" applyBorder="1" applyFill="1" applyFont="1" applyNumberFormat="1">
      <alignment horizontal="center"/>
    </xf>
    <xf borderId="0" fillId="4" fontId="3" numFmtId="0" xfId="0" applyAlignment="1" applyFont="1">
      <alignment horizontal="left"/>
    </xf>
    <xf borderId="10" fillId="3" fontId="12" numFmtId="10" xfId="0" applyAlignment="1" applyBorder="1" applyFont="1" applyNumberFormat="1">
      <alignment horizontal="center"/>
    </xf>
    <xf borderId="12" fillId="0" fontId="5" numFmtId="0" xfId="0" applyBorder="1" applyFont="1"/>
    <xf borderId="10" fillId="7" fontId="13" numFmtId="4" xfId="0" applyAlignment="1" applyBorder="1" applyFont="1" applyNumberFormat="1">
      <alignment horizontal="center"/>
    </xf>
    <xf borderId="10" fillId="3" fontId="13" numFmtId="4" xfId="0" applyAlignment="1" applyBorder="1" applyFont="1" applyNumberFormat="1">
      <alignment horizontal="center"/>
    </xf>
    <xf borderId="10" fillId="8" fontId="13" numFmtId="4" xfId="0" applyAlignment="1" applyBorder="1" applyFill="1" applyFont="1" applyNumberFormat="1">
      <alignment horizontal="center" readingOrder="0"/>
    </xf>
    <xf borderId="10" fillId="3" fontId="13" numFmtId="10" xfId="0" applyAlignment="1" applyBorder="1" applyFont="1" applyNumberFormat="1">
      <alignment horizontal="center"/>
    </xf>
    <xf borderId="0" fillId="0" fontId="14" numFmtId="0" xfId="0" applyAlignment="1" applyFont="1">
      <alignment readingOrder="0"/>
    </xf>
    <xf borderId="0" fillId="2" fontId="6" numFmtId="0" xfId="0" applyFont="1"/>
    <xf borderId="9" fillId="5" fontId="7" numFmtId="0" xfId="0" applyAlignment="1" applyBorder="1" applyFont="1">
      <alignment horizontal="center" vertical="center"/>
    </xf>
    <xf borderId="10" fillId="5" fontId="4" numFmtId="0" xfId="0" applyAlignment="1" applyBorder="1" applyFont="1">
      <alignment horizontal="center" readingOrder="0" vertical="center"/>
    </xf>
    <xf borderId="9" fillId="5" fontId="7" numFmtId="0" xfId="0" applyAlignment="1" applyBorder="1" applyFont="1">
      <alignment horizontal="center"/>
    </xf>
    <xf borderId="10" fillId="5" fontId="4" numFmtId="0" xfId="0" applyAlignment="1" applyBorder="1" applyFont="1">
      <alignment horizontal="left" readingOrder="0"/>
    </xf>
    <xf borderId="9" fillId="2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9" fillId="2" fontId="15" numFmtId="0" xfId="0" applyAlignment="1" applyBorder="1" applyFont="1">
      <alignment horizontal="center"/>
    </xf>
    <xf borderId="13" fillId="2" fontId="3" numFmtId="0" xfId="0" applyAlignment="1" applyBorder="1" applyFont="1">
      <alignment horizontal="center" vertical="center"/>
    </xf>
    <xf borderId="12" fillId="2" fontId="3" numFmtId="0" xfId="0" applyAlignment="1" applyBorder="1" applyFont="1">
      <alignment horizontal="center"/>
    </xf>
    <xf borderId="11" fillId="2" fontId="3" numFmtId="0" xfId="0" applyAlignment="1" applyBorder="1" applyFont="1">
      <alignment horizontal="center"/>
    </xf>
    <xf borderId="13" fillId="2" fontId="3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/>
    </xf>
    <xf borderId="9" fillId="0" fontId="6" numFmtId="0" xfId="0" applyAlignment="1" applyBorder="1" applyFont="1">
      <alignment horizontal="center" vertical="center"/>
    </xf>
    <xf borderId="14" fillId="0" fontId="5" numFmtId="0" xfId="0" applyBorder="1" applyFont="1"/>
    <xf borderId="9" fillId="5" fontId="7" numFmtId="0" xfId="0" applyAlignment="1" applyBorder="1" applyFont="1">
      <alignment horizontal="center" readingOrder="0" vertical="center"/>
    </xf>
    <xf borderId="9" fillId="3" fontId="6" numFmtId="10" xfId="0" applyAlignment="1" applyBorder="1" applyFont="1" applyNumberFormat="1">
      <alignment horizontal="center" vertical="center"/>
    </xf>
    <xf borderId="10" fillId="8" fontId="7" numFmtId="10" xfId="0" applyAlignment="1" applyBorder="1" applyFont="1" applyNumberFormat="1">
      <alignment horizontal="center" vertical="center"/>
    </xf>
    <xf borderId="9" fillId="8" fontId="7" numFmtId="10" xfId="0" applyAlignment="1" applyBorder="1" applyFont="1" applyNumberFormat="1">
      <alignment horizontal="center" vertical="center"/>
    </xf>
    <xf borderId="9" fillId="8" fontId="6" numFmtId="10" xfId="0" applyAlignment="1" applyBorder="1" applyFont="1" applyNumberFormat="1">
      <alignment horizontal="center" vertical="center"/>
    </xf>
    <xf borderId="10" fillId="3" fontId="6" numFmtId="10" xfId="0" applyAlignment="1" applyBorder="1" applyFont="1" applyNumberFormat="1">
      <alignment horizontal="center" vertical="center"/>
    </xf>
    <xf borderId="0" fillId="0" fontId="6" numFmtId="0" xfId="0" applyFont="1"/>
    <xf borderId="0" fillId="0" fontId="3" numFmtId="10" xfId="0" applyFont="1" applyNumberFormat="1"/>
    <xf borderId="0" fillId="3" fontId="6" numFmtId="0" xfId="0" applyAlignment="1" applyFont="1">
      <alignment horizontal="center"/>
    </xf>
    <xf borderId="0" fillId="0" fontId="3" numFmtId="0" xfId="0" applyFont="1"/>
    <xf borderId="0" fillId="5" fontId="4" numFmtId="0" xfId="0" applyAlignment="1" applyFont="1">
      <alignment horizontal="center"/>
    </xf>
    <xf borderId="0" fillId="7" fontId="6" numFmtId="0" xfId="0" applyAlignment="1" applyFont="1">
      <alignment horizontal="center"/>
    </xf>
    <xf borderId="0" fillId="0" fontId="16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9" numFmtId="0" xfId="0" applyFont="1"/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17" numFmtId="0" xfId="0" applyFont="1"/>
    <xf borderId="0" fillId="3" fontId="7" numFmtId="10" xfId="0" applyAlignment="1" applyFont="1" applyNumberFormat="1">
      <alignment horizontal="center" vertical="bottom"/>
    </xf>
    <xf borderId="0" fillId="0" fontId="18" numFmtId="0" xfId="0" applyFont="1"/>
    <xf borderId="0" fillId="0" fontId="2" numFmtId="0" xfId="0" applyFont="1"/>
    <xf borderId="0" fillId="5" fontId="6" numFmtId="0" xfId="0" applyAlignment="1" applyFont="1">
      <alignment horizontal="center"/>
    </xf>
    <xf borderId="0" fillId="0" fontId="17" numFmtId="0" xfId="0" applyAlignment="1" applyFont="1">
      <alignment shrinkToFit="0" vertical="bottom" wrapText="0"/>
    </xf>
    <xf borderId="0" fillId="3" fontId="6" numFmtId="10" xfId="0" applyAlignment="1" applyFont="1" applyNumberFormat="1">
      <alignment horizontal="center" vertical="bottom"/>
    </xf>
    <xf borderId="0" fillId="6" fontId="19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7" fontId="6" numFmtId="10" xfId="0" applyAlignment="1" applyFont="1" applyNumberFormat="1">
      <alignment horizontal="center" vertical="bottom"/>
    </xf>
    <xf borderId="0" fillId="6" fontId="2" numFmtId="0" xfId="0" applyFont="1"/>
    <xf borderId="0" fillId="0" fontId="1" numFmtId="0" xfId="0" applyFont="1"/>
    <xf borderId="0" fillId="9" fontId="1" numFmtId="0" xfId="0" applyFill="1" applyFont="1"/>
    <xf borderId="0" fillId="9" fontId="3" numFmtId="0" xfId="0" applyFont="1"/>
    <xf borderId="9" fillId="5" fontId="4" numFmtId="0" xfId="0" applyAlignment="1" applyBorder="1" applyFont="1">
      <alignment horizontal="center"/>
    </xf>
    <xf borderId="9" fillId="5" fontId="4" numFmtId="3" xfId="0" applyAlignment="1" applyBorder="1" applyFont="1" applyNumberFormat="1">
      <alignment horizontal="center"/>
    </xf>
    <xf borderId="9" fillId="5" fontId="4" numFmtId="0" xfId="0" applyAlignment="1" applyBorder="1" applyFont="1">
      <alignment horizontal="center" readingOrder="0"/>
    </xf>
    <xf borderId="9" fillId="5" fontId="4" numFmtId="3" xfId="0" applyAlignment="1" applyBorder="1" applyFont="1" applyNumberFormat="1">
      <alignment horizontal="center" readingOrder="0"/>
    </xf>
    <xf borderId="9" fillId="0" fontId="6" numFmtId="0" xfId="0" applyAlignment="1" applyBorder="1" applyFont="1">
      <alignment shrinkToFit="0" wrapText="1"/>
    </xf>
    <xf borderId="9" fillId="9" fontId="9" numFmtId="0" xfId="0" applyAlignment="1" applyBorder="1" applyFont="1">
      <alignment horizontal="center"/>
    </xf>
    <xf borderId="9" fillId="9" fontId="3" numFmtId="0" xfId="0" applyAlignment="1" applyBorder="1" applyFont="1">
      <alignment horizontal="center" shrinkToFit="0" wrapText="1"/>
    </xf>
    <xf borderId="9" fillId="5" fontId="6" numFmtId="3" xfId="0" applyAlignment="1" applyBorder="1" applyFont="1" applyNumberFormat="1">
      <alignment horizontal="center" readingOrder="0"/>
    </xf>
    <xf borderId="9" fillId="5" fontId="6" numFmtId="3" xfId="0" applyAlignment="1" applyBorder="1" applyFont="1" applyNumberFormat="1">
      <alignment horizontal="center"/>
    </xf>
    <xf borderId="9" fillId="3" fontId="6" numFmtId="10" xfId="0" applyAlignment="1" applyBorder="1" applyFont="1" applyNumberFormat="1">
      <alignment horizontal="center"/>
    </xf>
    <xf borderId="9" fillId="6" fontId="6" numFmtId="10" xfId="0" applyAlignment="1" applyBorder="1" applyFont="1" applyNumberFormat="1">
      <alignment horizontal="center"/>
    </xf>
    <xf borderId="9" fillId="9" fontId="3" numFmtId="0" xfId="0" applyAlignment="1" applyBorder="1" applyFont="1">
      <alignment horizontal="center" readingOrder="0" shrinkToFit="0" wrapText="1"/>
    </xf>
    <xf borderId="9" fillId="3" fontId="6" numFmtId="3" xfId="0" applyAlignment="1" applyBorder="1" applyFont="1" applyNumberFormat="1">
      <alignment horizontal="center"/>
    </xf>
    <xf borderId="9" fillId="5" fontId="6" numFmtId="10" xfId="0" applyAlignment="1" applyBorder="1" applyFont="1" applyNumberFormat="1">
      <alignment horizontal="center" readingOrder="0"/>
    </xf>
    <xf borderId="9" fillId="5" fontId="6" numFmtId="0" xfId="0" applyAlignment="1" applyBorder="1" applyFont="1">
      <alignment horizontal="center" readingOrder="0"/>
    </xf>
    <xf borderId="13" fillId="10" fontId="6" numFmtId="0" xfId="0" applyAlignment="1" applyBorder="1" applyFill="1" applyFont="1">
      <alignment horizontal="center"/>
    </xf>
    <xf borderId="9" fillId="10" fontId="6" numFmtId="10" xfId="0" applyAlignment="1" applyBorder="1" applyFont="1" applyNumberFormat="1">
      <alignment horizontal="center"/>
    </xf>
    <xf borderId="9" fillId="0" fontId="6" numFmtId="10" xfId="0" applyAlignment="1" applyBorder="1" applyFont="1" applyNumberFormat="1">
      <alignment horizontal="center"/>
    </xf>
    <xf borderId="0" fillId="0" fontId="20" numFmtId="0" xfId="0" applyAlignment="1" applyFont="1">
      <alignment horizontal="center" readingOrder="0"/>
    </xf>
    <xf borderId="9" fillId="3" fontId="6" numFmtId="4" xfId="0" applyAlignment="1" applyBorder="1" applyFont="1" applyNumberFormat="1">
      <alignment horizontal="center"/>
    </xf>
    <xf borderId="9" fillId="6" fontId="6" numFmtId="0" xfId="0" applyAlignment="1" applyBorder="1" applyFont="1">
      <alignment horizontal="center"/>
    </xf>
    <xf borderId="0" fillId="2" fontId="3" numFmtId="0" xfId="0" applyFont="1"/>
    <xf borderId="0" fillId="7" fontId="6" numFmtId="0" xfId="0" applyAlignment="1" applyFont="1">
      <alignment readingOrder="0"/>
    </xf>
    <xf borderId="0" fillId="7" fontId="6" numFmtId="0" xfId="0" applyFont="1"/>
    <xf borderId="10" fillId="8" fontId="6" numFmtId="10" xfId="0" applyAlignment="1" applyBorder="1" applyFont="1" applyNumberFormat="1">
      <alignment horizontal="center"/>
    </xf>
    <xf borderId="10" fillId="5" fontId="6" numFmtId="0" xfId="0" applyAlignment="1" applyBorder="1" applyFont="1">
      <alignment horizontal="center" readingOrder="0"/>
    </xf>
    <xf borderId="0" fillId="0" fontId="6" numFmtId="10" xfId="0" applyAlignment="1" applyFont="1" applyNumberFormat="1">
      <alignment horizontal="center"/>
    </xf>
    <xf borderId="10" fillId="3" fontId="6" numFmtId="3" xfId="0" applyAlignment="1" applyBorder="1" applyFont="1" applyNumberFormat="1">
      <alignment horizontal="center"/>
    </xf>
    <xf borderId="0" fillId="0" fontId="21" numFmtId="0" xfId="0" applyFont="1"/>
    <xf borderId="10" fillId="5" fontId="6" numFmtId="3" xfId="0" applyAlignment="1" applyBorder="1" applyFont="1" applyNumberFormat="1">
      <alignment horizontal="center"/>
    </xf>
    <xf borderId="10" fillId="5" fontId="6" numFmtId="10" xfId="0" applyAlignment="1" applyBorder="1" applyFont="1" applyNumberFormat="1">
      <alignment horizontal="center"/>
    </xf>
    <xf borderId="0" fillId="0" fontId="22" numFmtId="0" xfId="0" applyAlignment="1" applyFont="1">
      <alignment readingOrder="0"/>
    </xf>
    <xf borderId="0" fillId="0" fontId="8" numFmtId="10" xfId="0" applyAlignment="1" applyFont="1" applyNumberFormat="1">
      <alignment horizontal="left"/>
    </xf>
    <xf borderId="10" fillId="3" fontId="22" numFmtId="10" xfId="0" applyAlignment="1" applyBorder="1" applyFont="1" applyNumberFormat="1">
      <alignment horizontal="center"/>
    </xf>
    <xf borderId="10" fillId="8" fontId="22" numFmtId="10" xfId="0" applyAlignment="1" applyBorder="1" applyFont="1" applyNumberFormat="1">
      <alignment horizontal="center"/>
    </xf>
    <xf borderId="10" fillId="3" fontId="6" numFmtId="10" xfId="0" applyAlignment="1" applyBorder="1" applyFont="1" applyNumberFormat="1">
      <alignment horizontal="center"/>
    </xf>
    <xf borderId="0" fillId="0" fontId="6" numFmtId="0" xfId="0" applyAlignment="1" applyFont="1">
      <alignment horizontal="left"/>
    </xf>
    <xf borderId="10" fillId="5" fontId="6" numFmtId="0" xfId="0" applyAlignment="1" applyBorder="1" applyFont="1">
      <alignment horizontal="center"/>
    </xf>
    <xf borderId="0" fillId="0" fontId="23" numFmtId="0" xfId="0" applyAlignment="1" applyFont="1">
      <alignment horizontal="left"/>
    </xf>
    <xf borderId="10" fillId="5" fontId="6" numFmtId="10" xfId="0" applyAlignment="1" applyBorder="1" applyFont="1" applyNumberFormat="1">
      <alignment horizontal="center" readingOrder="0"/>
    </xf>
    <xf borderId="10" fillId="8" fontId="6" numFmtId="3" xfId="0" applyAlignment="1" applyBorder="1" applyFont="1" applyNumberFormat="1">
      <alignment horizontal="center"/>
    </xf>
    <xf borderId="0" fillId="0" fontId="3" numFmtId="3" xfId="0" applyAlignment="1" applyFont="1" applyNumberFormat="1">
      <alignment horizontal="center"/>
    </xf>
    <xf borderId="10" fillId="5" fontId="6" numFmtId="3" xfId="0" applyBorder="1" applyFont="1" applyNumberFormat="1"/>
    <xf borderId="0" fillId="7" fontId="7" numFmtId="0" xfId="0" applyAlignment="1" applyFont="1">
      <alignment horizontal="left"/>
    </xf>
    <xf borderId="0" fillId="6" fontId="3" numFmtId="3" xfId="0" applyAlignment="1" applyFont="1" applyNumberFormat="1">
      <alignment horizontal="center"/>
    </xf>
    <xf borderId="10" fillId="5" fontId="6" numFmtId="166" xfId="0" applyAlignment="1" applyBorder="1" applyFont="1" applyNumberFormat="1">
      <alignment horizontal="center" readingOrder="0"/>
    </xf>
    <xf borderId="9" fillId="2" fontId="24" numFmtId="2" xfId="0" applyAlignment="1" applyBorder="1" applyFont="1" applyNumberFormat="1">
      <alignment horizontal="center" vertical="bottom"/>
    </xf>
    <xf borderId="10" fillId="2" fontId="24" numFmtId="2" xfId="0" applyAlignment="1" applyBorder="1" applyFont="1" applyNumberFormat="1">
      <alignment horizontal="center" vertical="bottom"/>
    </xf>
    <xf borderId="9" fillId="2" fontId="24" numFmtId="2" xfId="0" applyAlignment="1" applyBorder="1" applyFont="1" applyNumberFormat="1">
      <alignment shrinkToFit="0" vertical="bottom" wrapText="0"/>
    </xf>
    <xf borderId="9" fillId="3" fontId="6" numFmtId="2" xfId="0" applyAlignment="1" applyBorder="1" applyFont="1" applyNumberFormat="1">
      <alignment horizontal="center" vertical="bottom"/>
    </xf>
    <xf borderId="9" fillId="5" fontId="6" numFmtId="1" xfId="0" applyAlignment="1" applyBorder="1" applyFont="1" applyNumberFormat="1">
      <alignment horizontal="center" readingOrder="0" vertical="bottom"/>
    </xf>
    <xf borderId="9" fillId="3" fontId="6" numFmtId="1" xfId="0" applyAlignment="1" applyBorder="1" applyFont="1" applyNumberFormat="1">
      <alignment horizontal="center" vertical="bottom"/>
    </xf>
    <xf borderId="9" fillId="3" fontId="6" numFmtId="1" xfId="0" applyAlignment="1" applyBorder="1" applyFont="1" applyNumberFormat="1">
      <alignment horizontal="right" vertical="bottom"/>
    </xf>
    <xf borderId="9" fillId="5" fontId="6" numFmtId="1" xfId="0" applyAlignment="1" applyBorder="1" applyFont="1" applyNumberFormat="1">
      <alignment horizontal="center" vertical="bottom"/>
    </xf>
    <xf borderId="0" fillId="0" fontId="25" numFmtId="0" xfId="0" applyAlignment="1" applyFont="1">
      <alignment shrinkToFit="0" vertical="bottom" wrapText="0"/>
    </xf>
    <xf borderId="0" fillId="0" fontId="25" numFmtId="0" xfId="0" applyAlignment="1" applyFont="1">
      <alignment vertical="bottom"/>
    </xf>
    <xf borderId="9" fillId="2" fontId="26" numFmtId="0" xfId="0" applyAlignment="1" applyBorder="1" applyFont="1">
      <alignment vertical="bottom"/>
    </xf>
    <xf borderId="9" fillId="2" fontId="26" numFmtId="0" xfId="0" applyAlignment="1" applyBorder="1" applyFont="1">
      <alignment horizontal="center" vertical="bottom"/>
    </xf>
    <xf borderId="9" fillId="2" fontId="26" numFmtId="0" xfId="0" applyAlignment="1" applyBorder="1" applyFont="1">
      <alignment horizontal="center" shrinkToFit="0" vertical="bottom" wrapText="0"/>
    </xf>
    <xf borderId="9" fillId="0" fontId="27" numFmtId="0" xfId="0" applyAlignment="1" applyBorder="1" applyFont="1">
      <alignment vertical="bottom"/>
    </xf>
    <xf borderId="9" fillId="3" fontId="6" numFmtId="3" xfId="0" applyAlignment="1" applyBorder="1" applyFont="1" applyNumberFormat="1">
      <alignment horizontal="center" vertical="bottom"/>
    </xf>
    <xf borderId="9" fillId="3" fontId="6" numFmtId="10" xfId="0" applyAlignment="1" applyBorder="1" applyFont="1" applyNumberFormat="1">
      <alignment horizontal="center" vertical="bottom"/>
    </xf>
    <xf borderId="0" fillId="0" fontId="28" numFmtId="0" xfId="0" applyAlignment="1" applyFont="1">
      <alignment vertical="bottom"/>
    </xf>
    <xf borderId="9" fillId="0" fontId="29" numFmtId="0" xfId="0" applyAlignment="1" applyBorder="1" applyFont="1">
      <alignment vertical="bottom"/>
    </xf>
    <xf borderId="9" fillId="0" fontId="30" numFmtId="0" xfId="0" applyAlignment="1" applyBorder="1" applyFont="1">
      <alignment shrinkToFit="0" vertical="bottom" wrapText="0"/>
    </xf>
    <xf borderId="9" fillId="0" fontId="30" numFmtId="0" xfId="0" applyAlignment="1" applyBorder="1" applyFont="1">
      <alignment vertical="bottom"/>
    </xf>
    <xf borderId="9" fillId="0" fontId="27" numFmtId="0" xfId="0" applyBorder="1" applyFont="1"/>
    <xf borderId="9" fillId="3" fontId="31" numFmtId="3" xfId="0" applyAlignment="1" applyBorder="1" applyFont="1" applyNumberFormat="1">
      <alignment horizontal="center"/>
    </xf>
    <xf borderId="9" fillId="3" fontId="31" numFmtId="10" xfId="0" applyAlignment="1" applyBorder="1" applyFont="1" applyNumberFormat="1">
      <alignment horizontal="center"/>
    </xf>
    <xf borderId="0" fillId="3" fontId="32" numFmtId="0" xfId="0" applyAlignment="1" applyFont="1">
      <alignment horizontal="center"/>
    </xf>
    <xf borderId="0" fillId="0" fontId="33" numFmtId="0" xfId="0" applyFont="1"/>
    <xf borderId="9" fillId="3" fontId="6" numFmtId="0" xfId="0" applyAlignment="1" applyBorder="1" applyFont="1">
      <alignment horizontal="center"/>
    </xf>
    <xf borderId="9" fillId="8" fontId="6" numFmtId="10" xfId="0" applyAlignment="1" applyBorder="1" applyFont="1" applyNumberFormat="1">
      <alignment horizontal="center"/>
    </xf>
    <xf borderId="9" fillId="8" fontId="6" numFmtId="0" xfId="0" applyAlignment="1" applyBorder="1" applyFont="1">
      <alignment horizontal="center"/>
    </xf>
    <xf borderId="13" fillId="2" fontId="34" numFmtId="0" xfId="0" applyBorder="1" applyFont="1"/>
    <xf borderId="13" fillId="2" fontId="3" numFmtId="0" xfId="0" applyAlignment="1" applyBorder="1" applyFont="1">
      <alignment horizontal="center"/>
    </xf>
    <xf borderId="0" fillId="0" fontId="11" numFmtId="0" xfId="0" applyAlignment="1" applyFont="1">
      <alignment horizontal="right"/>
    </xf>
    <xf borderId="0" fillId="3" fontId="6" numFmtId="4" xfId="0" applyAlignment="1" applyFont="1" applyNumberFormat="1">
      <alignment horizontal="center"/>
    </xf>
    <xf borderId="0" fillId="3" fontId="6" numFmtId="10" xfId="0" applyAlignment="1" applyFont="1" applyNumberFormat="1">
      <alignment horizontal="center"/>
    </xf>
    <xf borderId="0" fillId="3" fontId="6" numFmtId="3" xfId="0" applyAlignment="1" applyFont="1" applyNumberFormat="1">
      <alignment horizontal="center"/>
    </xf>
    <xf borderId="0" fillId="0" fontId="6" numFmtId="0" xfId="0" applyAlignment="1" applyFont="1">
      <alignment horizontal="right"/>
    </xf>
    <xf borderId="0" fillId="5" fontId="6" numFmtId="10" xfId="0" applyAlignment="1" applyFont="1" applyNumberFormat="1">
      <alignment horizontal="center" readingOrder="0"/>
    </xf>
    <xf borderId="0" fillId="5" fontId="6" numFmtId="10" xfId="0" applyAlignment="1" applyFont="1" applyNumberFormat="1">
      <alignment horizontal="center"/>
    </xf>
    <xf borderId="0" fillId="0" fontId="6" numFmtId="10" xfId="0" applyAlignment="1" applyFont="1" applyNumberFormat="1">
      <alignment horizontal="right"/>
    </xf>
    <xf borderId="0" fillId="8" fontId="11" numFmtId="10" xfId="0" applyAlignment="1" applyFont="1" applyNumberFormat="1">
      <alignment horizontal="right" readingOrder="0"/>
    </xf>
    <xf borderId="0" fillId="8" fontId="11" numFmtId="10" xfId="0" applyAlignment="1" applyFont="1" applyNumberFormat="1">
      <alignment horizontal="right"/>
    </xf>
    <xf borderId="2" fillId="0" fontId="6" numFmtId="0" xfId="0" applyAlignment="1" applyBorder="1" applyFont="1">
      <alignment horizontal="right"/>
    </xf>
    <xf borderId="2" fillId="0" fontId="6" numFmtId="0" xfId="0" applyAlignment="1" applyBorder="1" applyFont="1">
      <alignment horizontal="center"/>
    </xf>
    <xf borderId="2" fillId="3" fontId="6" numFmtId="10" xfId="0" applyAlignment="1" applyBorder="1" applyFont="1" applyNumberFormat="1">
      <alignment horizontal="center"/>
    </xf>
    <xf borderId="2" fillId="0" fontId="6" numFmtId="0" xfId="0" applyBorder="1" applyFont="1"/>
    <xf borderId="2" fillId="3" fontId="6" numFmtId="3" xfId="0" applyAlignment="1" applyBorder="1" applyFont="1" applyNumberFormat="1">
      <alignment horizontal="center"/>
    </xf>
    <xf borderId="0" fillId="3" fontId="6" numFmtId="1" xfId="0" applyAlignment="1" applyFont="1" applyNumberFormat="1">
      <alignment horizontal="center"/>
    </xf>
    <xf borderId="0" fillId="5" fontId="6" numFmtId="3" xfId="0" applyAlignment="1" applyFont="1" applyNumberFormat="1">
      <alignment horizontal="center" readingOrder="0"/>
    </xf>
    <xf borderId="0" fillId="5" fontId="6" numFmtId="3" xfId="0" applyAlignment="1" applyFont="1" applyNumberFormat="1">
      <alignment horizontal="center"/>
    </xf>
    <xf borderId="0" fillId="0" fontId="6" numFmtId="3" xfId="0" applyAlignment="1" applyFont="1" applyNumberFormat="1">
      <alignment horizontal="center"/>
    </xf>
    <xf borderId="0" fillId="3" fontId="11" numFmtId="3" xfId="0" applyAlignment="1" applyFont="1" applyNumberFormat="1">
      <alignment horizontal="right"/>
    </xf>
    <xf borderId="0" fillId="8" fontId="11" numFmtId="3" xfId="0" applyAlignment="1" applyFont="1" applyNumberFormat="1">
      <alignment horizontal="right"/>
    </xf>
    <xf borderId="0" fillId="0" fontId="11" numFmtId="3" xfId="0" applyAlignment="1" applyFont="1" applyNumberFormat="1">
      <alignment horizontal="right"/>
    </xf>
    <xf borderId="0" fillId="0" fontId="6" numFmtId="1" xfId="0" applyAlignment="1" applyFont="1" applyNumberFormat="1">
      <alignment horizontal="center"/>
    </xf>
    <xf borderId="15" fillId="0" fontId="6" numFmtId="0" xfId="0" applyBorder="1" applyFont="1"/>
    <xf borderId="15" fillId="3" fontId="6" numFmtId="1" xfId="0" applyAlignment="1" applyBorder="1" applyFont="1" applyNumberFormat="1">
      <alignment horizontal="center"/>
    </xf>
    <xf borderId="15" fillId="3" fontId="6" numFmtId="3" xfId="0" applyAlignment="1" applyBorder="1" applyFont="1" applyNumberFormat="1">
      <alignment horizontal="center"/>
    </xf>
    <xf borderId="15" fillId="0" fontId="6" numFmtId="3" xfId="0" applyAlignment="1" applyBorder="1" applyFont="1" applyNumberFormat="1">
      <alignment horizontal="center"/>
    </xf>
    <xf borderId="0" fillId="0" fontId="6" numFmtId="0" xfId="0" applyAlignment="1" applyFont="1">
      <alignment horizontal="left" readingOrder="0"/>
    </xf>
    <xf borderId="0" fillId="0" fontId="11" numFmtId="0" xfId="0" applyAlignment="1" applyFont="1">
      <alignment horizontal="right" readingOrder="0"/>
    </xf>
    <xf borderId="0" fillId="3" fontId="6" numFmtId="10" xfId="0" applyAlignment="1" applyFont="1" applyNumberFormat="1">
      <alignment horizontal="right"/>
    </xf>
    <xf borderId="15" fillId="3" fontId="6" numFmtId="10" xfId="0" applyAlignment="1" applyBorder="1" applyFont="1" applyNumberFormat="1">
      <alignment horizontal="center"/>
    </xf>
    <xf borderId="16" fillId="0" fontId="6" numFmtId="0" xfId="0" applyBorder="1" applyFont="1"/>
    <xf borderId="16" fillId="3" fontId="6" numFmtId="3" xfId="0" applyAlignment="1" applyBorder="1" applyFont="1" applyNumberFormat="1">
      <alignment horizontal="center"/>
    </xf>
    <xf borderId="16" fillId="3" fontId="6" numFmtId="1" xfId="0" applyAlignment="1" applyBorder="1" applyFont="1" applyNumberFormat="1">
      <alignment horizontal="center"/>
    </xf>
    <xf borderId="7" fillId="3" fontId="6" numFmtId="3" xfId="0" applyAlignment="1" applyBorder="1" applyFont="1" applyNumberFormat="1">
      <alignment horizontal="center"/>
    </xf>
    <xf borderId="15" fillId="0" fontId="11" numFmtId="0" xfId="0" applyAlignment="1" applyBorder="1" applyFont="1">
      <alignment horizontal="right"/>
    </xf>
    <xf borderId="15" fillId="0" fontId="6" numFmtId="0" xfId="0" applyAlignment="1" applyBorder="1" applyFont="1">
      <alignment horizontal="center"/>
    </xf>
    <xf borderId="0" fillId="6" fontId="6" numFmtId="0" xfId="0" applyAlignment="1" applyFont="1">
      <alignment horizontal="center"/>
    </xf>
    <xf borderId="7" fillId="0" fontId="6" numFmtId="0" xfId="0" applyBorder="1" applyFont="1"/>
    <xf borderId="7" fillId="0" fontId="6" numFmtId="0" xfId="0" applyAlignment="1" applyBorder="1" applyFont="1">
      <alignment horizontal="center"/>
    </xf>
    <xf quotePrefix="1" borderId="0" fillId="0" fontId="6" numFmtId="0" xfId="0" applyAlignment="1" applyFont="1">
      <alignment readingOrder="0"/>
    </xf>
    <xf borderId="7" fillId="0" fontId="5" numFmtId="0" xfId="0" applyBorder="1" applyFont="1"/>
    <xf borderId="12" fillId="3" fontId="6" numFmtId="3" xfId="0" applyAlignment="1" applyBorder="1" applyFont="1" applyNumberFormat="1">
      <alignment horizontal="center"/>
    </xf>
    <xf borderId="2" fillId="3" fontId="6" numFmtId="0" xfId="0" applyAlignment="1" applyBorder="1" applyFont="1">
      <alignment horizontal="center"/>
    </xf>
    <xf borderId="12" fillId="7" fontId="2" numFmtId="2" xfId="0" applyAlignment="1" applyBorder="1" applyFont="1" applyNumberFormat="1">
      <alignment horizontal="center"/>
    </xf>
    <xf borderId="12" fillId="3" fontId="6" numFmtId="0" xfId="0" applyAlignment="1" applyBorder="1" applyFont="1">
      <alignment horizontal="center"/>
    </xf>
    <xf borderId="9" fillId="7" fontId="35" numFmtId="10" xfId="0" applyAlignment="1" applyBorder="1" applyFont="1" applyNumberFormat="1">
      <alignment horizontal="center"/>
    </xf>
    <xf borderId="0" fillId="3" fontId="36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28.25"/>
    <col customWidth="1" min="3" max="7" width="13.88"/>
    <col customWidth="1" min="8" max="8" width="12.63"/>
    <col customWidth="1" min="9" max="9" width="40.13"/>
  </cols>
  <sheetData>
    <row r="1" ht="15.75" customHeight="1">
      <c r="B1" s="1" t="s">
        <v>0</v>
      </c>
      <c r="C1" s="2" t="str">
        <f>C2&amp;" : "&amp;C3</f>
        <v>603288 : 海天味业</v>
      </c>
    </row>
    <row r="2" ht="15.75" customHeight="1">
      <c r="B2" s="3" t="s">
        <v>1</v>
      </c>
      <c r="C2" s="4" t="s">
        <v>2</v>
      </c>
      <c r="D2" s="5"/>
    </row>
    <row r="3" ht="15.75" customHeight="1">
      <c r="B3" s="6" t="s">
        <v>3</v>
      </c>
      <c r="C3" s="7" t="s">
        <v>4</v>
      </c>
      <c r="D3" s="8"/>
    </row>
    <row r="4" ht="15.75" customHeight="1">
      <c r="B4" s="9" t="s">
        <v>5</v>
      </c>
      <c r="C4" s="10">
        <v>44680.0</v>
      </c>
      <c r="D4" s="11"/>
    </row>
    <row r="5" ht="15.75" customHeight="1">
      <c r="B5" s="3" t="s">
        <v>6</v>
      </c>
      <c r="C5" s="12" t="s">
        <v>7</v>
      </c>
      <c r="D5" s="5"/>
    </row>
    <row r="6" ht="15.75" customHeight="1">
      <c r="B6" s="6" t="s">
        <v>8</v>
      </c>
      <c r="C6" s="13">
        <v>72.7</v>
      </c>
      <c r="D6" s="14" t="s">
        <v>9</v>
      </c>
    </row>
    <row r="7" ht="15.75" customHeight="1">
      <c r="B7" s="6" t="s">
        <v>10</v>
      </c>
      <c r="C7" s="15">
        <v>4.633833787E9</v>
      </c>
      <c r="D7" s="8"/>
    </row>
    <row r="8" ht="15.75" customHeight="1">
      <c r="B8" s="6" t="s">
        <v>11</v>
      </c>
      <c r="C8" s="16">
        <f>C6*C7/1000000</f>
        <v>336879.7163</v>
      </c>
      <c r="D8" s="8"/>
    </row>
    <row r="9" ht="15.75" customHeight="1">
      <c r="B9" s="3" t="s">
        <v>12</v>
      </c>
      <c r="C9" s="17">
        <f>Dashboard!C6/((Data!F4*Dashboard!C12)/(Dashboard!C7/Data!F3))</f>
        <v>380.8874526</v>
      </c>
      <c r="D9" s="5"/>
      <c r="E9" s="18" t="s">
        <v>13</v>
      </c>
      <c r="F9" s="19"/>
    </row>
    <row r="10" ht="15.75" customHeight="1">
      <c r="B10" s="9" t="s">
        <v>14</v>
      </c>
      <c r="C10" s="20">
        <f>Dashboard!C6/(IF(Data!C21="",Data!D21,Data!C21)*Data!F3/Cs_Shares)</f>
        <v>14.33539858</v>
      </c>
      <c r="D10" s="11"/>
      <c r="E10" s="21" t="s">
        <v>15</v>
      </c>
      <c r="F10" s="22"/>
      <c r="G10" s="23">
        <v>0.03</v>
      </c>
    </row>
    <row r="11" ht="15.75" customHeight="1">
      <c r="B11" s="3" t="s">
        <v>16</v>
      </c>
      <c r="C11" s="12" t="s">
        <v>9</v>
      </c>
      <c r="D11" s="5"/>
      <c r="E11" s="21" t="s">
        <v>17</v>
      </c>
      <c r="F11" s="22"/>
      <c r="G11" s="23">
        <f>G10+4.5%</f>
        <v>0.075</v>
      </c>
      <c r="H11" s="24" t="str">
        <f>IF(G11&gt;6%,"","Be careful with the long-term debt cycle")</f>
        <v/>
      </c>
    </row>
    <row r="12" ht="15.75" customHeight="1">
      <c r="B12" s="9" t="s">
        <v>18</v>
      </c>
      <c r="C12" s="25">
        <f>IFERROR(__xludf.DUMMYFUNCTION("if(D12=""NA"",1,GOOGLEFINANCE(""Currency:""&amp;D12))"),1.0)</f>
        <v>1</v>
      </c>
      <c r="D12" s="26" t="str">
        <f>IF(C11=Dashboard!D6,"NA",C11&amp;Dashboard!D6)</f>
        <v>NA</v>
      </c>
      <c r="E12" s="21" t="s">
        <v>19</v>
      </c>
      <c r="F12" s="22"/>
      <c r="G12" s="23">
        <f>G10+6.75%</f>
        <v>0.0975</v>
      </c>
      <c r="H12" s="24" t="str">
        <f>IF(G12&gt;8%,"","Be careful with the long-term debt cycle")</f>
        <v/>
      </c>
    </row>
    <row r="13" ht="15.75" customHeight="1">
      <c r="E13" s="27"/>
    </row>
    <row r="14" ht="15.75" customHeight="1">
      <c r="B14" s="1" t="s">
        <v>20</v>
      </c>
      <c r="C14" s="28" t="s">
        <v>21</v>
      </c>
      <c r="D14" s="29"/>
      <c r="E14" s="28" t="s">
        <v>22</v>
      </c>
      <c r="F14" s="29"/>
      <c r="G14" s="28" t="s">
        <v>23</v>
      </c>
      <c r="H14" s="29"/>
    </row>
    <row r="15" ht="15.75" customHeight="1">
      <c r="B15" s="30" t="s">
        <v>24</v>
      </c>
      <c r="C15" s="31">
        <f>Dashboard!D34</f>
        <v>4</v>
      </c>
      <c r="D15" s="29"/>
      <c r="E15" s="31">
        <f>Dashboard!E34</f>
        <v>6</v>
      </c>
      <c r="F15" s="29"/>
      <c r="G15" s="31">
        <f>Dashboard!F34</f>
        <v>8</v>
      </c>
      <c r="H15" s="29"/>
    </row>
    <row r="16" ht="15.75" customHeight="1">
      <c r="B16" s="30" t="s">
        <v>25</v>
      </c>
      <c r="C16" s="32">
        <f>Dashboard!D36</f>
        <v>0.06027059066</v>
      </c>
      <c r="D16" s="29"/>
      <c r="E16" s="32">
        <f>Dashboard!E36</f>
        <v>0.3048988179</v>
      </c>
      <c r="F16" s="29"/>
      <c r="G16" s="32">
        <f>Dashboard!F36</f>
        <v>0.2800293689</v>
      </c>
      <c r="H16" s="29"/>
    </row>
    <row r="17" ht="15.75" customHeight="1">
      <c r="B17" s="30" t="s">
        <v>26</v>
      </c>
      <c r="C17" s="32">
        <f>Dashboard!D38</f>
        <v>0.1623772241</v>
      </c>
      <c r="D17" s="29"/>
      <c r="E17" s="32">
        <f>Dashboard!E38</f>
        <v>1.968756117</v>
      </c>
      <c r="F17" s="29"/>
      <c r="G17" s="32">
        <f>Dashboard!F38</f>
        <v>1.322053051</v>
      </c>
      <c r="H17" s="29"/>
    </row>
    <row r="18" ht="15.75" customHeight="1">
      <c r="B18" s="30" t="s">
        <v>27</v>
      </c>
      <c r="C18" s="32">
        <f>Dashboard!D37</f>
        <v>0.3711763826</v>
      </c>
      <c r="D18" s="29"/>
      <c r="E18" s="32">
        <f>Dashboard!E37</f>
        <v>0.1548687597</v>
      </c>
      <c r="F18" s="29"/>
      <c r="G18" s="32">
        <f>Dashboard!F37</f>
        <v>0.2118140182</v>
      </c>
      <c r="H18" s="29"/>
    </row>
    <row r="19" ht="15.75" customHeight="1">
      <c r="B19" s="33" t="s">
        <v>28</v>
      </c>
      <c r="C19" s="34">
        <f>'Bear Model'!E41</f>
        <v>18.04378432</v>
      </c>
      <c r="D19" s="29"/>
      <c r="E19" s="34">
        <f>'Base Model'!E41</f>
        <v>11.73255864</v>
      </c>
      <c r="F19" s="29"/>
      <c r="G19" s="34">
        <f>'Bull Model'!E41</f>
        <v>14.5514438</v>
      </c>
      <c r="H19" s="29"/>
    </row>
    <row r="20" ht="15.75" customHeight="1">
      <c r="B20" s="35" t="s">
        <v>29</v>
      </c>
      <c r="C20" s="36">
        <f>H124</f>
        <v>0.184375</v>
      </c>
      <c r="D20" s="37"/>
      <c r="E20" s="37"/>
      <c r="F20" s="37"/>
      <c r="G20" s="37"/>
      <c r="H20" s="29"/>
    </row>
    <row r="21" ht="15.75" customHeight="1">
      <c r="B21" s="33" t="s">
        <v>30</v>
      </c>
      <c r="C21" s="38">
        <f>Dashboard!C19*(1-C20)</f>
        <v>14.71696159</v>
      </c>
      <c r="D21" s="29"/>
      <c r="E21" s="38">
        <f>Dashboard!E19*(1-C20)</f>
        <v>9.569368145</v>
      </c>
      <c r="F21" s="29"/>
      <c r="G21" s="38">
        <f>Dashboard!G19*(1-C20)</f>
        <v>11.86852135</v>
      </c>
      <c r="H21" s="29"/>
    </row>
    <row r="22" ht="15.75" customHeight="1">
      <c r="B22" s="35" t="s">
        <v>31</v>
      </c>
      <c r="C22" s="39">
        <f>C21/((Data!$F$4*Data!$F$3)/$C$7)</f>
        <v>77.10462187</v>
      </c>
      <c r="D22" s="29"/>
      <c r="E22" s="39">
        <f>E21/((Data!$F$4*Data!$F$3)/$C$7)</f>
        <v>50.13551933</v>
      </c>
      <c r="F22" s="29"/>
      <c r="G22" s="39">
        <f>G21/((Data!$F$4*Data!$F$3)/$C$7)</f>
        <v>62.18116731</v>
      </c>
      <c r="H22" s="29"/>
    </row>
    <row r="23" ht="15.75" customHeight="1">
      <c r="B23" s="33" t="s">
        <v>32</v>
      </c>
      <c r="C23" s="40">
        <v>33.82</v>
      </c>
      <c r="D23" s="37"/>
      <c r="E23" s="37"/>
      <c r="F23" s="37"/>
      <c r="G23" s="37"/>
      <c r="H23" s="29"/>
    </row>
    <row r="24" ht="15.75" customHeight="1">
      <c r="B24" s="33" t="s">
        <v>33</v>
      </c>
      <c r="C24" s="41">
        <f t="array" ref="C24">IRR({-$C$23,0,C19})</f>
        <v>-0.2695726742</v>
      </c>
      <c r="D24" s="29"/>
      <c r="E24" s="41">
        <f t="array" ref="E24">IRR({-$C$23,0,E19})</f>
        <v>-0.4110077705</v>
      </c>
      <c r="F24" s="29"/>
      <c r="G24" s="41">
        <f t="array" ref="G24">IRR({-$C$23,0,G19})</f>
        <v>-0.3440567889</v>
      </c>
      <c r="H24" s="29"/>
      <c r="I24" s="42" t="s">
        <v>34</v>
      </c>
    </row>
    <row r="25" ht="15.75" customHeight="1"/>
    <row r="26" ht="15.75" customHeight="1">
      <c r="B26" s="1" t="s">
        <v>35</v>
      </c>
      <c r="C26" s="43"/>
    </row>
    <row r="27" ht="27.75" customHeight="1">
      <c r="B27" s="44" t="s">
        <v>36</v>
      </c>
      <c r="C27" s="45" t="s">
        <v>37</v>
      </c>
      <c r="D27" s="37"/>
      <c r="E27" s="37"/>
      <c r="F27" s="37"/>
      <c r="G27" s="37"/>
      <c r="H27" s="37"/>
      <c r="I27" s="29"/>
    </row>
    <row r="28" ht="15.75" customHeight="1">
      <c r="B28" s="46" t="s">
        <v>38</v>
      </c>
      <c r="C28" s="47" t="s">
        <v>39</v>
      </c>
      <c r="D28" s="37"/>
      <c r="E28" s="37"/>
      <c r="F28" s="37"/>
      <c r="G28" s="37"/>
      <c r="H28" s="37"/>
      <c r="I28" s="29"/>
    </row>
    <row r="29" ht="15.75" customHeight="1">
      <c r="B29" s="46" t="s">
        <v>40</v>
      </c>
      <c r="C29" s="47" t="s">
        <v>41</v>
      </c>
      <c r="D29" s="37"/>
      <c r="E29" s="37"/>
      <c r="F29" s="37"/>
      <c r="G29" s="37"/>
      <c r="H29" s="37"/>
      <c r="I29" s="29"/>
    </row>
    <row r="30" ht="15.75" customHeight="1">
      <c r="B30" s="46" t="s">
        <v>42</v>
      </c>
      <c r="C30" s="47" t="s">
        <v>43</v>
      </c>
      <c r="D30" s="37"/>
      <c r="E30" s="37"/>
      <c r="F30" s="37"/>
      <c r="G30" s="37"/>
      <c r="H30" s="37"/>
      <c r="I30" s="29"/>
    </row>
    <row r="31" ht="15.75" customHeight="1">
      <c r="F31" s="27"/>
    </row>
    <row r="32" ht="15.75" customHeight="1">
      <c r="D32" s="28" t="s">
        <v>44</v>
      </c>
      <c r="E32" s="37"/>
      <c r="F32" s="29"/>
      <c r="G32" s="48" t="s">
        <v>45</v>
      </c>
      <c r="H32" s="49"/>
    </row>
    <row r="33" ht="15.75" customHeight="1">
      <c r="B33" s="50" t="s">
        <v>46</v>
      </c>
      <c r="C33" s="51" t="s">
        <v>47</v>
      </c>
      <c r="D33" s="28" t="s">
        <v>21</v>
      </c>
      <c r="E33" s="52" t="s">
        <v>22</v>
      </c>
      <c r="F33" s="53" t="s">
        <v>23</v>
      </c>
      <c r="G33" s="54" t="s">
        <v>38</v>
      </c>
      <c r="H33" s="55"/>
      <c r="I33" s="55"/>
    </row>
    <row r="34" ht="30.0" customHeight="1">
      <c r="B34" s="56" t="s">
        <v>48</v>
      </c>
      <c r="C34" s="57"/>
      <c r="D34" s="58">
        <v>4.0</v>
      </c>
      <c r="E34" s="44">
        <f>H88</f>
        <v>6</v>
      </c>
      <c r="F34" s="44">
        <f>E34+2</f>
        <v>8</v>
      </c>
      <c r="G34" s="57"/>
      <c r="H34" s="55"/>
      <c r="I34" s="55"/>
    </row>
    <row r="35" ht="30.0" customHeight="1">
      <c r="B35" s="56" t="s">
        <v>49</v>
      </c>
      <c r="C35" s="59">
        <f>IF(Data!D95="No",Data!C113,Data!D113)</f>
        <v>0.2809825456</v>
      </c>
      <c r="D35" s="60">
        <f>AVERAGE('Bear Model'!C12:L12)</f>
        <v>0.2528842911</v>
      </c>
      <c r="E35" s="61">
        <f>AVERAGE('Base Model'!C12:L12)</f>
        <v>0.2528842911</v>
      </c>
      <c r="F35" s="60">
        <f>AVERAGE('Bull Model'!C12:L12)</f>
        <v>0.2528842911</v>
      </c>
      <c r="G35" s="62">
        <f>'Base Model'!M12</f>
        <v>0.2528842911</v>
      </c>
      <c r="H35" s="55"/>
      <c r="I35" s="55"/>
    </row>
    <row r="36" ht="30.0" customHeight="1">
      <c r="B36" s="56" t="s">
        <v>50</v>
      </c>
      <c r="C36" s="59">
        <f>Data!$C$11</f>
        <v>-0.005033708898</v>
      </c>
      <c r="D36" s="60">
        <f>Iferror(GEOMEAN('Bear Model'!C15:L15),AVERAGE('Bear Model'!C15:L15))</f>
        <v>0.06027059066</v>
      </c>
      <c r="E36" s="61">
        <f>Iferror(GEOMEAN('Base Model'!C15:L15),AVERAGE('Base Model'!C15:L15))</f>
        <v>0.3048988179</v>
      </c>
      <c r="F36" s="60">
        <f>Iferror(GEOMEAN('Bull Model'!C15:L15),AVERAGE('Bull Model'!C15:L15))</f>
        <v>0.2800293689</v>
      </c>
      <c r="G36" s="62">
        <f>G10</f>
        <v>0.03</v>
      </c>
      <c r="H36" s="55"/>
      <c r="I36" s="55"/>
    </row>
    <row r="37" ht="30.0" customHeight="1">
      <c r="B37" s="56" t="s">
        <v>51</v>
      </c>
      <c r="C37" s="59">
        <f>IF(Data!D95="No",Data!C117,Data!D117)</f>
        <v>0.601021777</v>
      </c>
      <c r="D37" s="63">
        <f>average('Bear Model'!C19:L19)</f>
        <v>0.3711763826</v>
      </c>
      <c r="E37" s="59">
        <f>average('Base Model'!C19:L19)</f>
        <v>0.1548687597</v>
      </c>
      <c r="F37" s="63">
        <f>average('Bull Model'!C19:L19)</f>
        <v>0.2118140182</v>
      </c>
      <c r="G37" s="62">
        <f>G12</f>
        <v>0.0975</v>
      </c>
      <c r="H37" s="55"/>
      <c r="I37" s="55"/>
    </row>
    <row r="38" ht="30.0" customHeight="1">
      <c r="B38" s="56" t="s">
        <v>52</v>
      </c>
      <c r="C38" s="59">
        <f>IF(Data!D95="No",Data!C124,Data!D124)</f>
        <v>0.866469421</v>
      </c>
      <c r="D38" s="63">
        <f t="shared" ref="D38:G38" si="1">D36/D37</f>
        <v>0.1623772241</v>
      </c>
      <c r="E38" s="59">
        <f t="shared" si="1"/>
        <v>1.968756117</v>
      </c>
      <c r="F38" s="63">
        <f t="shared" si="1"/>
        <v>1.322053051</v>
      </c>
      <c r="G38" s="62">
        <f t="shared" si="1"/>
        <v>0.3076923077</v>
      </c>
      <c r="H38" s="55"/>
      <c r="I38" s="55"/>
    </row>
    <row r="39" ht="15.75" customHeight="1"/>
    <row r="40" ht="15.75" customHeight="1">
      <c r="B40" s="1" t="s">
        <v>53</v>
      </c>
      <c r="C40" s="1"/>
      <c r="D40" s="55"/>
    </row>
    <row r="41" ht="15.75" customHeight="1">
      <c r="B41" s="64" t="s">
        <v>54</v>
      </c>
      <c r="D41" s="55"/>
    </row>
    <row r="42" ht="15.75" customHeight="1">
      <c r="B42" s="64" t="s">
        <v>55</v>
      </c>
      <c r="D42" s="55"/>
    </row>
    <row r="43" ht="15.75" customHeight="1">
      <c r="B43" s="64" t="s">
        <v>56</v>
      </c>
      <c r="E43" s="55"/>
      <c r="G43" s="65">
        <f>sum(G44:G51)/(8*4)</f>
        <v>0.5</v>
      </c>
      <c r="H43" s="66" t="str">
        <f>IF(G43&gt;80%,"Very High",IF(G43&lt;=20%,"Very Low",IF(G43&lt;=40%,"Low",IF(G43&lt;=60%,"Medium","High"))))</f>
        <v>Medium</v>
      </c>
    </row>
    <row r="44" ht="15.75" customHeight="1">
      <c r="B44" s="64" t="s">
        <v>57</v>
      </c>
      <c r="E44" s="55"/>
      <c r="G44" s="67">
        <f t="shared" ref="G44:G51" si="2">ratingValue(H44)</f>
        <v>0</v>
      </c>
      <c r="H44" s="7" t="s">
        <v>58</v>
      </c>
    </row>
    <row r="45" ht="15.75" customHeight="1">
      <c r="B45" s="64" t="s">
        <v>59</v>
      </c>
      <c r="E45" s="55"/>
      <c r="G45" s="67">
        <f t="shared" si="2"/>
        <v>3</v>
      </c>
      <c r="H45" s="7" t="s">
        <v>60</v>
      </c>
    </row>
    <row r="46" ht="15.75" customHeight="1">
      <c r="B46" s="64" t="s">
        <v>61</v>
      </c>
      <c r="E46" s="55"/>
      <c r="G46" s="67">
        <f t="shared" si="2"/>
        <v>3</v>
      </c>
      <c r="H46" s="7" t="s">
        <v>60</v>
      </c>
    </row>
    <row r="47" ht="15.75" customHeight="1">
      <c r="B47" s="64" t="s">
        <v>62</v>
      </c>
      <c r="E47" s="55"/>
      <c r="G47" s="67">
        <f t="shared" si="2"/>
        <v>0</v>
      </c>
      <c r="H47" s="7" t="s">
        <v>58</v>
      </c>
    </row>
    <row r="48" ht="15.75" customHeight="1">
      <c r="B48" s="64" t="s">
        <v>63</v>
      </c>
      <c r="E48" s="55"/>
      <c r="G48" s="67">
        <f t="shared" si="2"/>
        <v>1</v>
      </c>
      <c r="H48" s="7" t="s">
        <v>64</v>
      </c>
    </row>
    <row r="49" ht="15.75" customHeight="1">
      <c r="B49" s="64" t="s">
        <v>65</v>
      </c>
      <c r="E49" s="55"/>
      <c r="G49" s="67">
        <f t="shared" si="2"/>
        <v>3</v>
      </c>
      <c r="H49" s="7" t="s">
        <v>60</v>
      </c>
    </row>
    <row r="50" ht="15.75" customHeight="1">
      <c r="B50" s="64" t="s">
        <v>66</v>
      </c>
      <c r="E50" s="55"/>
      <c r="G50" s="67">
        <f t="shared" si="2"/>
        <v>4</v>
      </c>
      <c r="H50" s="7" t="s">
        <v>67</v>
      </c>
    </row>
    <row r="51" ht="15.75" customHeight="1">
      <c r="B51" s="64" t="s">
        <v>68</v>
      </c>
      <c r="G51" s="67">
        <f t="shared" si="2"/>
        <v>2</v>
      </c>
      <c r="H51" s="7" t="s">
        <v>69</v>
      </c>
    </row>
    <row r="52" ht="15.75" customHeight="1">
      <c r="G52" s="67"/>
      <c r="H52" s="55"/>
    </row>
    <row r="53" ht="15.75" customHeight="1">
      <c r="B53" s="64" t="s">
        <v>70</v>
      </c>
      <c r="E53" s="55"/>
      <c r="G53" s="65">
        <f>SUM(G54:G59)/(6*4)</f>
        <v>0.5416666667</v>
      </c>
      <c r="H53" s="66" t="str">
        <f>IF(G53&gt;80%,"Very High",IF(G53&lt;=20%,"Very Low",IF(G53&lt;=40%,"Low",IF(G53&lt;=60%,"Medium","High"))))</f>
        <v>Medium</v>
      </c>
    </row>
    <row r="54" ht="15.75" customHeight="1">
      <c r="B54" s="64" t="s">
        <v>71</v>
      </c>
      <c r="E54" s="55"/>
      <c r="G54" s="67">
        <f t="shared" ref="G54:G59" si="3">ratingValue(H54)</f>
        <v>2</v>
      </c>
      <c r="H54" s="7" t="s">
        <v>69</v>
      </c>
    </row>
    <row r="55" ht="15.75" customHeight="1">
      <c r="B55" s="64" t="s">
        <v>72</v>
      </c>
      <c r="E55" s="55"/>
      <c r="G55" s="67">
        <f t="shared" si="3"/>
        <v>4</v>
      </c>
      <c r="H55" s="7" t="s">
        <v>67</v>
      </c>
    </row>
    <row r="56" ht="15.75" customHeight="1">
      <c r="B56" s="64" t="s">
        <v>73</v>
      </c>
      <c r="E56" s="55"/>
      <c r="G56" s="67">
        <f t="shared" si="3"/>
        <v>2</v>
      </c>
      <c r="H56" s="7" t="s">
        <v>69</v>
      </c>
    </row>
    <row r="57" ht="15.75" customHeight="1">
      <c r="B57" s="64" t="s">
        <v>74</v>
      </c>
      <c r="E57" s="55"/>
      <c r="G57" s="67">
        <f t="shared" si="3"/>
        <v>2</v>
      </c>
      <c r="H57" s="7" t="s">
        <v>69</v>
      </c>
    </row>
    <row r="58" ht="15.75" customHeight="1">
      <c r="B58" s="64" t="s">
        <v>75</v>
      </c>
      <c r="E58" s="55"/>
      <c r="G58" s="67">
        <f t="shared" si="3"/>
        <v>3</v>
      </c>
      <c r="H58" s="7" t="s">
        <v>60</v>
      </c>
    </row>
    <row r="59" ht="15.75" customHeight="1">
      <c r="B59" s="64" t="s">
        <v>76</v>
      </c>
      <c r="E59" s="55"/>
      <c r="G59" s="67">
        <f t="shared" si="3"/>
        <v>0</v>
      </c>
      <c r="H59" s="68" t="s">
        <v>58</v>
      </c>
    </row>
    <row r="60" ht="15.75" customHeight="1">
      <c r="G60" s="67"/>
      <c r="H60" s="55"/>
      <c r="I60" s="55"/>
    </row>
    <row r="61" ht="15.75" customHeight="1">
      <c r="B61" s="64" t="s">
        <v>77</v>
      </c>
      <c r="E61" s="55"/>
      <c r="G61" s="65">
        <f>SUM(G62:G69)/(8*4)</f>
        <v>0.375</v>
      </c>
      <c r="H61" s="66" t="str">
        <f>IF(G61&gt;80%,"Very High",IF(G61&lt;=20%,"Very Low",IF(G61&lt;=40%,"Low",IF(G61&lt;=60%,"Medium","High"))))</f>
        <v>Low</v>
      </c>
    </row>
    <row r="62" ht="15.75" customHeight="1">
      <c r="B62" s="64" t="s">
        <v>78</v>
      </c>
      <c r="E62" s="55"/>
      <c r="G62" s="67">
        <f t="shared" ref="G62:G69" si="4">ratingValue(H62)</f>
        <v>3</v>
      </c>
      <c r="H62" s="7" t="s">
        <v>60</v>
      </c>
    </row>
    <row r="63" ht="15.75" customHeight="1">
      <c r="B63" s="64" t="s">
        <v>79</v>
      </c>
      <c r="E63" s="55"/>
      <c r="G63" s="67">
        <f t="shared" si="4"/>
        <v>1</v>
      </c>
      <c r="H63" s="7" t="s">
        <v>64</v>
      </c>
    </row>
    <row r="64" ht="15.75" customHeight="1">
      <c r="B64" s="64" t="s">
        <v>80</v>
      </c>
      <c r="E64" s="55"/>
      <c r="G64" s="67">
        <f t="shared" si="4"/>
        <v>1</v>
      </c>
      <c r="H64" s="7" t="s">
        <v>64</v>
      </c>
    </row>
    <row r="65" ht="15.75" customHeight="1">
      <c r="B65" s="64" t="s">
        <v>81</v>
      </c>
      <c r="E65" s="55"/>
      <c r="G65" s="67">
        <f t="shared" si="4"/>
        <v>0</v>
      </c>
      <c r="H65" s="7" t="s">
        <v>58</v>
      </c>
    </row>
    <row r="66" ht="15.75" customHeight="1">
      <c r="B66" s="64" t="s">
        <v>82</v>
      </c>
      <c r="E66" s="55"/>
      <c r="G66" s="67">
        <f t="shared" si="4"/>
        <v>4</v>
      </c>
      <c r="H66" s="7" t="s">
        <v>67</v>
      </c>
    </row>
    <row r="67" ht="15.75" customHeight="1">
      <c r="B67" s="64" t="s">
        <v>83</v>
      </c>
      <c r="E67" s="55"/>
      <c r="G67" s="67">
        <f t="shared" si="4"/>
        <v>1</v>
      </c>
      <c r="H67" s="68" t="s">
        <v>64</v>
      </c>
    </row>
    <row r="68" ht="15.75" customHeight="1">
      <c r="B68" s="64" t="s">
        <v>84</v>
      </c>
      <c r="E68" s="55"/>
      <c r="G68" s="67">
        <f t="shared" si="4"/>
        <v>0</v>
      </c>
      <c r="H68" s="7" t="s">
        <v>58</v>
      </c>
    </row>
    <row r="69" ht="15.75" customHeight="1">
      <c r="B69" s="64" t="s">
        <v>85</v>
      </c>
      <c r="E69" s="55"/>
      <c r="G69" s="67">
        <f t="shared" si="4"/>
        <v>2</v>
      </c>
      <c r="H69" s="7" t="s">
        <v>69</v>
      </c>
    </row>
    <row r="70" ht="15.75" customHeight="1">
      <c r="G70" s="67"/>
      <c r="H70" s="55"/>
    </row>
    <row r="71" ht="15.75" customHeight="1">
      <c r="B71" s="64" t="s">
        <v>86</v>
      </c>
      <c r="E71" s="55"/>
      <c r="G71" s="65">
        <f>SUM(G72:G74)/(3*4)</f>
        <v>0</v>
      </c>
      <c r="H71" s="66" t="str">
        <f>IF(G71&gt;80%,"Very High",IF(G71&lt;=20%,"Very Low",IF(G71&lt;=40%,"Low",IF(G71&lt;=60%,"Medium","High"))))</f>
        <v>Very Low</v>
      </c>
    </row>
    <row r="72" ht="15.75" customHeight="1">
      <c r="B72" s="64" t="s">
        <v>87</v>
      </c>
      <c r="E72" s="55"/>
      <c r="G72" s="67">
        <f t="shared" ref="G72:G74" si="5">ratingValue(H72)</f>
        <v>0</v>
      </c>
      <c r="H72" s="68" t="s">
        <v>58</v>
      </c>
    </row>
    <row r="73" ht="15.75" customHeight="1">
      <c r="B73" s="64" t="s">
        <v>88</v>
      </c>
      <c r="E73" s="55"/>
      <c r="G73" s="67">
        <f t="shared" si="5"/>
        <v>0</v>
      </c>
      <c r="H73" s="68" t="s">
        <v>58</v>
      </c>
    </row>
    <row r="74" ht="15.75" customHeight="1">
      <c r="B74" s="64" t="s">
        <v>89</v>
      </c>
      <c r="E74" s="55"/>
      <c r="G74" s="67">
        <f t="shared" si="5"/>
        <v>0</v>
      </c>
      <c r="H74" s="68" t="s">
        <v>58</v>
      </c>
    </row>
    <row r="75" ht="15.75" customHeight="1">
      <c r="G75" s="67"/>
      <c r="H75" s="55"/>
    </row>
    <row r="76" ht="15.75" customHeight="1">
      <c r="B76" s="64" t="s">
        <v>90</v>
      </c>
      <c r="E76" s="55"/>
      <c r="G76" s="65">
        <f>SUM(G77:G85)/(9*4)</f>
        <v>0.5833333333</v>
      </c>
      <c r="H76" s="66" t="str">
        <f>IF(G76&gt;80%,"Very High",IF(G76&lt;=20%,"Very Low",IF(G76&lt;=40%,"Low",IF(G76&lt;=60%,"Medium","High"))))</f>
        <v>Medium</v>
      </c>
    </row>
    <row r="77" ht="15.75" customHeight="1">
      <c r="B77" s="64" t="s">
        <v>91</v>
      </c>
      <c r="E77" s="55"/>
      <c r="G77" s="67">
        <f t="shared" ref="G77:G85" si="6">ratingValue(H77)</f>
        <v>1</v>
      </c>
      <c r="H77" s="7" t="s">
        <v>64</v>
      </c>
    </row>
    <row r="78" ht="15.75" customHeight="1">
      <c r="B78" s="64" t="s">
        <v>92</v>
      </c>
      <c r="E78" s="55"/>
      <c r="G78" s="67">
        <f t="shared" si="6"/>
        <v>1</v>
      </c>
      <c r="H78" s="7" t="s">
        <v>64</v>
      </c>
    </row>
    <row r="79" ht="15.75" customHeight="1">
      <c r="B79" s="64" t="s">
        <v>93</v>
      </c>
      <c r="E79" s="55"/>
      <c r="G79" s="67">
        <f t="shared" si="6"/>
        <v>4</v>
      </c>
      <c r="H79" s="7" t="s">
        <v>67</v>
      </c>
    </row>
    <row r="80" ht="15.75" customHeight="1">
      <c r="B80" s="64" t="s">
        <v>94</v>
      </c>
      <c r="E80" s="55"/>
      <c r="G80" s="67">
        <f t="shared" si="6"/>
        <v>3</v>
      </c>
      <c r="H80" s="68" t="s">
        <v>60</v>
      </c>
    </row>
    <row r="81" ht="15.75" customHeight="1">
      <c r="B81" s="64" t="s">
        <v>95</v>
      </c>
      <c r="E81" s="55"/>
      <c r="G81" s="67">
        <f t="shared" si="6"/>
        <v>4</v>
      </c>
      <c r="H81" s="68" t="s">
        <v>67</v>
      </c>
    </row>
    <row r="82" ht="15.75" customHeight="1">
      <c r="B82" s="64" t="s">
        <v>96</v>
      </c>
      <c r="E82" s="55"/>
      <c r="G82" s="67">
        <f t="shared" si="6"/>
        <v>1</v>
      </c>
      <c r="H82" s="7" t="s">
        <v>64</v>
      </c>
    </row>
    <row r="83" ht="15.75" customHeight="1">
      <c r="B83" s="64" t="s">
        <v>97</v>
      </c>
      <c r="E83" s="55"/>
      <c r="G83" s="67">
        <f t="shared" si="6"/>
        <v>3</v>
      </c>
      <c r="H83" s="7" t="s">
        <v>60</v>
      </c>
    </row>
    <row r="84" ht="15.75" customHeight="1">
      <c r="B84" s="64" t="s">
        <v>98</v>
      </c>
      <c r="E84" s="55"/>
      <c r="G84" s="67">
        <f t="shared" si="6"/>
        <v>4</v>
      </c>
      <c r="H84" s="68" t="s">
        <v>67</v>
      </c>
    </row>
    <row r="85" ht="15.75" customHeight="1">
      <c r="B85" s="64" t="s">
        <v>99</v>
      </c>
      <c r="E85" s="55"/>
      <c r="G85" s="67">
        <f t="shared" si="6"/>
        <v>0</v>
      </c>
      <c r="H85" s="68" t="s">
        <v>58</v>
      </c>
    </row>
    <row r="86" ht="15.75" customHeight="1">
      <c r="G86" s="67"/>
      <c r="H86" s="55"/>
    </row>
    <row r="87" ht="15.75" customHeight="1">
      <c r="B87" s="64" t="s">
        <v>100</v>
      </c>
      <c r="E87" s="55"/>
      <c r="G87" s="65">
        <f>1-AVERAGE(G43,G53,G61,G71,G76)</f>
        <v>0.6</v>
      </c>
      <c r="H87" s="66" t="str">
        <f>IF(G87&gt;80%,"Very High",IF(G87&lt;=20%,"Very Low",IF(G87&lt;=40%,"Low",IF(G87&lt;=60%,"Medium","High"))))</f>
        <v>Medium</v>
      </c>
    </row>
    <row r="88" ht="15.75" customHeight="1">
      <c r="B88" s="64" t="s">
        <v>101</v>
      </c>
      <c r="E88" s="55"/>
      <c r="H88" s="69">
        <f>ROUND((G87)*10,0)</f>
        <v>6</v>
      </c>
    </row>
    <row r="89" ht="15.75" customHeight="1"/>
    <row r="90" ht="15.75" customHeight="1">
      <c r="B90" s="1" t="s">
        <v>102</v>
      </c>
      <c r="C90" s="1"/>
    </row>
    <row r="91" ht="15.75" customHeight="1">
      <c r="B91" s="70" t="s">
        <v>103</v>
      </c>
      <c r="C91" s="71"/>
      <c r="D91" s="71"/>
      <c r="E91" s="71"/>
      <c r="F91" s="71"/>
      <c r="G91" s="67"/>
      <c r="H91" s="55"/>
      <c r="I91" s="55"/>
    </row>
    <row r="92" ht="15.75" customHeight="1">
      <c r="B92" s="64" t="s">
        <v>104</v>
      </c>
      <c r="G92" s="72">
        <f t="shared" ref="G92:G96" si="7">ratingValue(H92)</f>
        <v>3</v>
      </c>
      <c r="H92" s="7" t="s">
        <v>60</v>
      </c>
    </row>
    <row r="93" ht="15.75" customHeight="1">
      <c r="B93" s="73" t="s">
        <v>105</v>
      </c>
      <c r="C93" s="71"/>
      <c r="D93" s="71"/>
      <c r="E93" s="71"/>
      <c r="F93" s="71"/>
      <c r="G93" s="72">
        <f t="shared" si="7"/>
        <v>2</v>
      </c>
      <c r="H93" s="7" t="s">
        <v>69</v>
      </c>
    </row>
    <row r="94" ht="15.75" customHeight="1">
      <c r="B94" s="64" t="s">
        <v>106</v>
      </c>
      <c r="G94" s="72">
        <f t="shared" si="7"/>
        <v>3</v>
      </c>
      <c r="H94" s="7" t="s">
        <v>60</v>
      </c>
    </row>
    <row r="95" ht="15.75" customHeight="1">
      <c r="B95" s="74" t="s">
        <v>107</v>
      </c>
      <c r="G95" s="72">
        <f t="shared" si="7"/>
        <v>2</v>
      </c>
      <c r="H95" s="7" t="s">
        <v>69</v>
      </c>
    </row>
    <row r="96" ht="15.75" customHeight="1">
      <c r="B96" s="64" t="s">
        <v>108</v>
      </c>
      <c r="G96" s="72">
        <f t="shared" si="7"/>
        <v>3</v>
      </c>
      <c r="H96" s="7" t="s">
        <v>60</v>
      </c>
    </row>
    <row r="97" ht="15.75" customHeight="1">
      <c r="B97" s="75" t="s">
        <v>109</v>
      </c>
      <c r="H97" s="76">
        <f>IF(AVERAGE(G92:G96)&gt;=3,25%,if(AVERAGE(G92:G96)&gt;=2,35%,if(AVERAGE(G92:G96)&gt;=1,60%,100%)))</f>
        <v>0.35</v>
      </c>
    </row>
    <row r="98" ht="15.75" customHeight="1">
      <c r="B98" s="77" t="s">
        <v>110</v>
      </c>
      <c r="C98" s="78"/>
    </row>
    <row r="99" ht="15.75" customHeight="1">
      <c r="B99" s="78" t="s">
        <v>111</v>
      </c>
      <c r="C99" s="78"/>
    </row>
    <row r="100" ht="15.75" customHeight="1">
      <c r="B100" s="64" t="s">
        <v>112</v>
      </c>
      <c r="G100" s="67">
        <f t="shared" ref="G100:G104" si="8">ratingValue(H100)</f>
        <v>4</v>
      </c>
      <c r="H100" s="7" t="s">
        <v>67</v>
      </c>
    </row>
    <row r="101" ht="15.75" customHeight="1">
      <c r="B101" s="64" t="s">
        <v>113</v>
      </c>
      <c r="G101" s="67">
        <f t="shared" si="8"/>
        <v>4</v>
      </c>
      <c r="H101" s="7" t="s">
        <v>67</v>
      </c>
    </row>
    <row r="102" ht="15.75" customHeight="1">
      <c r="B102" s="64" t="s">
        <v>114</v>
      </c>
      <c r="G102" s="67">
        <f t="shared" si="8"/>
        <v>4</v>
      </c>
      <c r="H102" s="7" t="s">
        <v>67</v>
      </c>
    </row>
    <row r="103" ht="15.75" customHeight="1">
      <c r="B103" s="64" t="s">
        <v>115</v>
      </c>
      <c r="G103" s="67">
        <f t="shared" si="8"/>
        <v>1</v>
      </c>
      <c r="H103" s="7" t="s">
        <v>64</v>
      </c>
    </row>
    <row r="104" ht="15.75" customHeight="1">
      <c r="B104" s="64" t="s">
        <v>116</v>
      </c>
      <c r="G104" s="67">
        <f t="shared" si="8"/>
        <v>3</v>
      </c>
      <c r="H104" s="7" t="s">
        <v>60</v>
      </c>
    </row>
    <row r="105" ht="15.75" customHeight="1">
      <c r="B105" s="78" t="s">
        <v>117</v>
      </c>
      <c r="G105" s="67"/>
      <c r="H105" s="55"/>
      <c r="I105" s="55"/>
    </row>
    <row r="106" ht="15.75" customHeight="1">
      <c r="B106" s="64" t="s">
        <v>118</v>
      </c>
      <c r="G106" s="67">
        <f t="shared" ref="G106:G110" si="9">ratingValue(H106)</f>
        <v>4</v>
      </c>
      <c r="H106" s="7" t="s">
        <v>67</v>
      </c>
    </row>
    <row r="107" ht="15.75" customHeight="1">
      <c r="B107" s="64" t="s">
        <v>119</v>
      </c>
      <c r="G107" s="67">
        <f t="shared" si="9"/>
        <v>1</v>
      </c>
      <c r="H107" s="7" t="s">
        <v>64</v>
      </c>
    </row>
    <row r="108" ht="15.75" customHeight="1">
      <c r="B108" s="64" t="s">
        <v>120</v>
      </c>
      <c r="G108" s="67">
        <f t="shared" si="9"/>
        <v>4</v>
      </c>
      <c r="H108" s="7" t="s">
        <v>67</v>
      </c>
    </row>
    <row r="109" ht="15.75" customHeight="1">
      <c r="B109" s="64" t="s">
        <v>121</v>
      </c>
      <c r="G109" s="67">
        <f t="shared" si="9"/>
        <v>4</v>
      </c>
      <c r="H109" s="7" t="s">
        <v>67</v>
      </c>
    </row>
    <row r="110" ht="15.75" customHeight="1">
      <c r="B110" s="64" t="s">
        <v>122</v>
      </c>
      <c r="G110" s="67">
        <f t="shared" si="9"/>
        <v>1</v>
      </c>
      <c r="H110" s="7" t="s">
        <v>64</v>
      </c>
    </row>
    <row r="111" ht="15.75" customHeight="1">
      <c r="B111" s="78" t="s">
        <v>123</v>
      </c>
      <c r="G111" s="67"/>
      <c r="H111" s="55"/>
      <c r="I111" s="55"/>
    </row>
    <row r="112" ht="15.75" customHeight="1">
      <c r="B112" s="64" t="s">
        <v>124</v>
      </c>
      <c r="G112" s="67">
        <f t="shared" ref="G112:G116" si="10">ratingValue(H112)</f>
        <v>3</v>
      </c>
      <c r="H112" s="7" t="s">
        <v>60</v>
      </c>
    </row>
    <row r="113" ht="15.75" customHeight="1">
      <c r="B113" s="64" t="s">
        <v>125</v>
      </c>
      <c r="G113" s="67">
        <f t="shared" si="10"/>
        <v>2</v>
      </c>
      <c r="H113" s="79" t="str">
        <f>companyCompetitiveness(H87)</f>
        <v>unclear</v>
      </c>
    </row>
    <row r="114" ht="15.75" customHeight="1">
      <c r="B114" s="64" t="s">
        <v>126</v>
      </c>
      <c r="G114" s="67">
        <f t="shared" si="10"/>
        <v>3</v>
      </c>
      <c r="H114" s="7" t="s">
        <v>60</v>
      </c>
    </row>
    <row r="115" ht="15.75" customHeight="1">
      <c r="B115" s="64" t="s">
        <v>127</v>
      </c>
      <c r="G115" s="67">
        <f t="shared" si="10"/>
        <v>0</v>
      </c>
      <c r="H115" s="7" t="s">
        <v>58</v>
      </c>
    </row>
    <row r="116" ht="15.75" customHeight="1">
      <c r="B116" s="64" t="s">
        <v>128</v>
      </c>
      <c r="G116" s="67">
        <f t="shared" si="10"/>
        <v>2</v>
      </c>
      <c r="H116" s="7" t="s">
        <v>69</v>
      </c>
    </row>
    <row r="117" ht="15.75" customHeight="1">
      <c r="B117" s="78" t="s">
        <v>129</v>
      </c>
      <c r="G117" s="67"/>
      <c r="H117" s="55"/>
      <c r="I117" s="55"/>
    </row>
    <row r="118" ht="15.75" customHeight="1">
      <c r="B118" s="64" t="s">
        <v>130</v>
      </c>
      <c r="G118" s="67">
        <f t="shared" ref="G118:G122" si="11">ratingValue(H118)</f>
        <v>4</v>
      </c>
      <c r="H118" s="7" t="s">
        <v>67</v>
      </c>
    </row>
    <row r="119" ht="15.75" customHeight="1">
      <c r="B119" s="64" t="s">
        <v>131</v>
      </c>
      <c r="G119" s="67">
        <f t="shared" si="11"/>
        <v>3</v>
      </c>
      <c r="H119" s="7" t="s">
        <v>60</v>
      </c>
    </row>
    <row r="120" ht="15.75" customHeight="1">
      <c r="B120" s="64" t="s">
        <v>132</v>
      </c>
      <c r="G120" s="67">
        <f t="shared" si="11"/>
        <v>2</v>
      </c>
      <c r="H120" s="7" t="s">
        <v>69</v>
      </c>
    </row>
    <row r="121" ht="15.75" customHeight="1">
      <c r="B121" s="64" t="s">
        <v>133</v>
      </c>
      <c r="G121" s="67">
        <f t="shared" si="11"/>
        <v>2</v>
      </c>
      <c r="H121" s="7" t="s">
        <v>69</v>
      </c>
    </row>
    <row r="122" ht="15.75" customHeight="1">
      <c r="B122" s="64" t="s">
        <v>134</v>
      </c>
      <c r="G122" s="67">
        <f t="shared" si="11"/>
        <v>2</v>
      </c>
      <c r="H122" s="7" t="s">
        <v>69</v>
      </c>
    </row>
    <row r="123" ht="15.75" customHeight="1">
      <c r="B123" s="80" t="s">
        <v>135</v>
      </c>
      <c r="G123" s="65">
        <f>AVERAGE(AVERAGE(G100:G104),AVERAGE(G106:G110),AVERAGE(G112:G116),AVERAGE(G118:G122))/4</f>
        <v>0.6625</v>
      </c>
      <c r="H123" s="81" t="str">
        <f>IF(G123&gt;80%,"Very Good",IF(G123&lt;=20%,"Very Poor",IF(G123&lt;=40%,"Poor",IF(G123&lt;=60%,"ok","Good"))))</f>
        <v>Good</v>
      </c>
    </row>
    <row r="124" ht="15.75" customHeight="1">
      <c r="B124" s="82" t="s">
        <v>136</v>
      </c>
      <c r="C124" s="71"/>
      <c r="D124" s="83"/>
      <c r="F124" s="71"/>
      <c r="G124" s="84">
        <f>1-G123</f>
        <v>0.3375</v>
      </c>
      <c r="H124" s="85">
        <f>(H97-10%)*G124+10%</f>
        <v>0.184375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15">
    <mergeCell ref="C22:D22"/>
    <mergeCell ref="E22:F22"/>
    <mergeCell ref="G22:H22"/>
    <mergeCell ref="C23:H23"/>
    <mergeCell ref="C24:D24"/>
    <mergeCell ref="E24:F24"/>
    <mergeCell ref="G24:H24"/>
    <mergeCell ref="C27:I27"/>
    <mergeCell ref="C28:I28"/>
    <mergeCell ref="C29:I29"/>
    <mergeCell ref="C30:I30"/>
    <mergeCell ref="D32:F32"/>
    <mergeCell ref="C33:C34"/>
    <mergeCell ref="G33:G34"/>
    <mergeCell ref="C1:D1"/>
    <mergeCell ref="C2:D2"/>
    <mergeCell ref="C3:D3"/>
    <mergeCell ref="C4:D4"/>
    <mergeCell ref="C5:D5"/>
    <mergeCell ref="C7:D7"/>
    <mergeCell ref="C8:D8"/>
    <mergeCell ref="E15:F15"/>
    <mergeCell ref="G15:H15"/>
    <mergeCell ref="C9:D9"/>
    <mergeCell ref="C10:D10"/>
    <mergeCell ref="C11:D11"/>
    <mergeCell ref="C14:D14"/>
    <mergeCell ref="E14:F14"/>
    <mergeCell ref="G14:H14"/>
    <mergeCell ref="C15:D15"/>
    <mergeCell ref="E18:F18"/>
    <mergeCell ref="G18:H18"/>
    <mergeCell ref="C16:D16"/>
    <mergeCell ref="E16:F16"/>
    <mergeCell ref="G16:H16"/>
    <mergeCell ref="C17:D17"/>
    <mergeCell ref="E17:F17"/>
    <mergeCell ref="G17:H17"/>
    <mergeCell ref="C18:D18"/>
    <mergeCell ref="C19:D19"/>
    <mergeCell ref="E19:F19"/>
    <mergeCell ref="G19:H19"/>
    <mergeCell ref="C20:H20"/>
    <mergeCell ref="C21:D21"/>
    <mergeCell ref="E21:F21"/>
    <mergeCell ref="G21:H21"/>
    <mergeCell ref="H43:I43"/>
    <mergeCell ref="H44:I44"/>
    <mergeCell ref="H45:I45"/>
    <mergeCell ref="H46:I46"/>
    <mergeCell ref="H47:I47"/>
    <mergeCell ref="H48:I48"/>
    <mergeCell ref="H49:I49"/>
    <mergeCell ref="H119:I119"/>
    <mergeCell ref="H120:I120"/>
    <mergeCell ref="H121:I121"/>
    <mergeCell ref="H122:I122"/>
    <mergeCell ref="H123:I123"/>
    <mergeCell ref="H124:I124"/>
    <mergeCell ref="H110:I110"/>
    <mergeCell ref="H112:I112"/>
    <mergeCell ref="H113:I113"/>
    <mergeCell ref="H114:I114"/>
    <mergeCell ref="H115:I115"/>
    <mergeCell ref="H116:I116"/>
    <mergeCell ref="H118:I118"/>
    <mergeCell ref="H50:I50"/>
    <mergeCell ref="H51:I51"/>
    <mergeCell ref="H53:I53"/>
    <mergeCell ref="H54:I54"/>
    <mergeCell ref="H55:I55"/>
    <mergeCell ref="H56:I56"/>
    <mergeCell ref="H57:I57"/>
    <mergeCell ref="H58:I58"/>
    <mergeCell ref="H59:I59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1:I71"/>
    <mergeCell ref="H72:I72"/>
    <mergeCell ref="H73:I73"/>
    <mergeCell ref="H74:I74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7:I87"/>
    <mergeCell ref="H88:I88"/>
    <mergeCell ref="H92:I92"/>
    <mergeCell ref="H93:I93"/>
    <mergeCell ref="H94:I94"/>
    <mergeCell ref="H95:I95"/>
    <mergeCell ref="H96:I96"/>
    <mergeCell ref="H97:I97"/>
    <mergeCell ref="H100:I100"/>
    <mergeCell ref="H101:I101"/>
    <mergeCell ref="H102:I102"/>
    <mergeCell ref="H103:I103"/>
    <mergeCell ref="H104:I104"/>
    <mergeCell ref="H106:I106"/>
    <mergeCell ref="H107:I107"/>
    <mergeCell ref="H108:I108"/>
    <mergeCell ref="H109:I109"/>
  </mergeCells>
  <conditionalFormatting sqref="E43:E88">
    <cfRule type="notContainsBlanks" dxfId="0" priority="1">
      <formula>LEN(TRIM(E43))&gt;0</formula>
    </cfRule>
  </conditionalFormatting>
  <dataValidations>
    <dataValidation type="list" allowBlank="1" sqref="C5">
      <formula1>"HK,US:NASDAQ,CN"</formula1>
    </dataValidation>
    <dataValidation type="list" allowBlank="1" sqref="H43 H53 H61 H71 H76">
      <formula1>"Very High,High,Medium,Low,Very Low"</formula1>
    </dataValidation>
    <dataValidation type="list" allowBlank="1" sqref="H44:H51 H54:H59 H62:H69 H72:H74 H77:H85 H92:H96 H100:H104 H106:H110 H112 H114:H116 H118:H122">
      <formula1>"Strongly agree,agree,unclear,disagree,Strongly disagree"</formula1>
    </dataValidation>
    <dataValidation type="list" allowBlank="1" sqref="C11">
      <formula1>"HKD,USD,CNY,EUR"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.63"/>
    <col customWidth="1" min="2" max="2" width="26.63"/>
    <col customWidth="1" min="3" max="4" width="17.63"/>
    <col customWidth="1" min="5" max="5" width="20.88"/>
    <col customWidth="1" min="6" max="13" width="17.63"/>
    <col customWidth="1" hidden="1" min="14" max="33" width="17.63"/>
  </cols>
  <sheetData>
    <row r="1" ht="8.25" customHeight="1">
      <c r="A1" s="86"/>
      <c r="B1" s="87"/>
      <c r="C1" s="67"/>
      <c r="D1" s="67"/>
      <c r="E1" s="67"/>
      <c r="F1" s="67"/>
    </row>
    <row r="2" ht="15.75" customHeight="1">
      <c r="A2" s="86"/>
      <c r="B2" s="88" t="s">
        <v>137</v>
      </c>
      <c r="C2" s="89"/>
      <c r="D2" s="89"/>
      <c r="E2" s="89"/>
      <c r="F2" s="89"/>
    </row>
    <row r="3" ht="15.75" customHeight="1">
      <c r="A3" s="27"/>
      <c r="B3" s="64" t="s">
        <v>138</v>
      </c>
      <c r="C3" s="90">
        <v>2021.0</v>
      </c>
      <c r="E3" s="64" t="s">
        <v>139</v>
      </c>
      <c r="F3" s="91">
        <v>1000000.0</v>
      </c>
    </row>
    <row r="4" ht="15.75" customHeight="1">
      <c r="A4" s="27"/>
      <c r="B4" s="64" t="s">
        <v>140</v>
      </c>
      <c r="C4" s="92" t="s">
        <v>141</v>
      </c>
      <c r="E4" s="64" t="s">
        <v>142</v>
      </c>
      <c r="F4" s="93">
        <v>884.46</v>
      </c>
    </row>
    <row r="5" ht="15.75" customHeight="1">
      <c r="A5" s="27"/>
    </row>
    <row r="6" ht="15.75" customHeight="1">
      <c r="A6" s="27"/>
      <c r="B6" s="94"/>
      <c r="C6" s="95" t="str">
        <f>IF($C$4="H1","LTM ","FY ")&amp;$C$3</f>
        <v>FY 2021</v>
      </c>
      <c r="D6" s="95" t="str">
        <f>IF($C$4="H1","LTM ","FY ")&amp;$C$3-1</f>
        <v>FY 2020</v>
      </c>
      <c r="E6" s="95" t="str">
        <f>IF($C$4="H1","LTM ","FY ")&amp;$C$3-2</f>
        <v>FY 2019</v>
      </c>
      <c r="F6" s="95" t="str">
        <f>IF($C$4="H1","LTM ","FY ")&amp;$C$3-3</f>
        <v>FY 2018</v>
      </c>
      <c r="G6" s="95" t="str">
        <f>IF($C$4="H1","LTM ","FY ")&amp;$C$3-4</f>
        <v>FY 2017</v>
      </c>
      <c r="H6" s="95" t="str">
        <f>IF($C$4="H1","LTM ","FY ")&amp;$C$3-5</f>
        <v>FY 2016</v>
      </c>
      <c r="I6" s="95" t="str">
        <f>IF($C$4="H1","LTM ","FY ")&amp;$C$3-6</f>
        <v>FY 2015</v>
      </c>
      <c r="J6" s="95" t="str">
        <f>IF($C$4="H1","LTM ","FY ")&amp;$C$3-7</f>
        <v>FY 2014</v>
      </c>
      <c r="K6" s="95" t="str">
        <f>IF($C$4="H1","LTM ","FY ")&amp;$C$3-8</f>
        <v>FY 2013</v>
      </c>
      <c r="L6" s="95" t="str">
        <f>IF($C$4="H1","LTM ","FY ")&amp;$C$3-9</f>
        <v>FY 2012</v>
      </c>
      <c r="M6" s="95" t="str">
        <f>IF($C$4="H1","LTM ","FY ")&amp;$C$3-10</f>
        <v>FY 2011</v>
      </c>
    </row>
    <row r="7" ht="15.75" customHeight="1">
      <c r="A7" s="27"/>
      <c r="B7" s="96" t="s">
        <v>143</v>
      </c>
      <c r="C7" s="97">
        <v>25004.03</v>
      </c>
      <c r="D7" s="97">
        <v>22791.87</v>
      </c>
      <c r="E7" s="97">
        <v>19796.89</v>
      </c>
      <c r="F7" s="97">
        <v>17034.48</v>
      </c>
      <c r="G7" s="97">
        <v>14584.31</v>
      </c>
      <c r="H7" s="97">
        <v>12458.56</v>
      </c>
      <c r="I7" s="97">
        <v>11294.38</v>
      </c>
      <c r="J7" s="97">
        <v>9817.19</v>
      </c>
      <c r="K7" s="97">
        <v>8401.59</v>
      </c>
      <c r="L7" s="97">
        <v>7069.59</v>
      </c>
      <c r="M7" s="98"/>
    </row>
    <row r="8" ht="15.75" customHeight="1">
      <c r="A8" s="27"/>
      <c r="B8" s="96" t="s">
        <v>144</v>
      </c>
      <c r="C8" s="99">
        <f t="shared" ref="C8:L8" si="1">IF(D7="","",C7/D7-1)</f>
        <v>0.09705917066</v>
      </c>
      <c r="D8" s="99">
        <f t="shared" si="1"/>
        <v>0.1512853787</v>
      </c>
      <c r="E8" s="99">
        <f t="shared" si="1"/>
        <v>0.1621657955</v>
      </c>
      <c r="F8" s="99">
        <f t="shared" si="1"/>
        <v>0.1680004059</v>
      </c>
      <c r="G8" s="99">
        <f t="shared" si="1"/>
        <v>0.1706256582</v>
      </c>
      <c r="H8" s="99">
        <f t="shared" si="1"/>
        <v>0.1030760431</v>
      </c>
      <c r="I8" s="99">
        <f t="shared" si="1"/>
        <v>0.1504697373</v>
      </c>
      <c r="J8" s="99">
        <f t="shared" si="1"/>
        <v>0.1684919164</v>
      </c>
      <c r="K8" s="99">
        <f t="shared" si="1"/>
        <v>0.1884126236</v>
      </c>
      <c r="L8" s="99" t="str">
        <f t="shared" si="1"/>
        <v/>
      </c>
      <c r="M8" s="100"/>
    </row>
    <row r="9" ht="15.75" customHeight="1">
      <c r="A9" s="27"/>
      <c r="B9" s="96" t="s">
        <v>145</v>
      </c>
      <c r="C9" s="97">
        <v>6926.03</v>
      </c>
      <c r="D9" s="97">
        <v>6961.07</v>
      </c>
      <c r="E9" s="97">
        <v>5752.67</v>
      </c>
      <c r="F9" s="97">
        <v>4750.86</v>
      </c>
      <c r="G9" s="97">
        <v>3941.2</v>
      </c>
      <c r="H9" s="97">
        <v>3269.21</v>
      </c>
      <c r="I9" s="97">
        <v>2869.79</v>
      </c>
      <c r="J9" s="97">
        <v>2356.49</v>
      </c>
      <c r="K9" s="97">
        <v>1881.18</v>
      </c>
      <c r="L9" s="97">
        <v>1471.05</v>
      </c>
      <c r="M9" s="98"/>
    </row>
    <row r="10" ht="15.75" customHeight="1">
      <c r="A10" s="27"/>
      <c r="B10" s="96" t="s">
        <v>146</v>
      </c>
      <c r="C10" s="99">
        <f t="shared" ref="C10:M10" si="2">IF(C9="","",C9/C7)</f>
        <v>0.2769965482</v>
      </c>
      <c r="D10" s="99">
        <f t="shared" si="2"/>
        <v>0.3054189937</v>
      </c>
      <c r="E10" s="99">
        <f t="shared" si="2"/>
        <v>0.2905845312</v>
      </c>
      <c r="F10" s="99">
        <f t="shared" si="2"/>
        <v>0.2788966848</v>
      </c>
      <c r="G10" s="99">
        <f t="shared" si="2"/>
        <v>0.2702356162</v>
      </c>
      <c r="H10" s="99">
        <f t="shared" si="2"/>
        <v>0.2624067308</v>
      </c>
      <c r="I10" s="99">
        <f t="shared" si="2"/>
        <v>0.2540900873</v>
      </c>
      <c r="J10" s="99">
        <f t="shared" si="2"/>
        <v>0.2400371186</v>
      </c>
      <c r="K10" s="99">
        <f t="shared" si="2"/>
        <v>0.2239076175</v>
      </c>
      <c r="L10" s="99">
        <f t="shared" si="2"/>
        <v>0.2080813739</v>
      </c>
      <c r="M10" s="99" t="str">
        <f t="shared" si="2"/>
        <v/>
      </c>
    </row>
    <row r="11" ht="15.75" customHeight="1">
      <c r="A11" s="27"/>
      <c r="B11" s="96" t="s">
        <v>50</v>
      </c>
      <c r="C11" s="99">
        <f t="shared" ref="C11:L11" si="3">IF(D9="","",C9/D9-1)</f>
        <v>-0.005033708898</v>
      </c>
      <c r="D11" s="99">
        <f t="shared" si="3"/>
        <v>0.2100589813</v>
      </c>
      <c r="E11" s="99">
        <f t="shared" si="3"/>
        <v>0.21086919</v>
      </c>
      <c r="F11" s="99">
        <f t="shared" si="3"/>
        <v>0.2054348929</v>
      </c>
      <c r="G11" s="99">
        <f t="shared" si="3"/>
        <v>0.2055511882</v>
      </c>
      <c r="H11" s="99">
        <f t="shared" si="3"/>
        <v>0.1391809157</v>
      </c>
      <c r="I11" s="99">
        <f t="shared" si="3"/>
        <v>0.217823967</v>
      </c>
      <c r="J11" s="99">
        <f t="shared" si="3"/>
        <v>0.2526658799</v>
      </c>
      <c r="K11" s="99">
        <f t="shared" si="3"/>
        <v>0.2788008565</v>
      </c>
      <c r="L11" s="99" t="str">
        <f t="shared" si="3"/>
        <v/>
      </c>
      <c r="M11" s="100"/>
    </row>
    <row r="12" ht="15.75" customHeight="1">
      <c r="A12" s="27"/>
      <c r="B12" s="101" t="s">
        <v>147</v>
      </c>
      <c r="C12" s="102">
        <f t="shared" ref="C12:M12" si="4">if(C9="","",C9*(1-$F$58))</f>
        <v>5908.239038</v>
      </c>
      <c r="D12" s="102">
        <f t="shared" si="4"/>
        <v>5938.129856</v>
      </c>
      <c r="E12" s="102">
        <f t="shared" si="4"/>
        <v>4907.306129</v>
      </c>
      <c r="F12" s="102">
        <f t="shared" si="4"/>
        <v>4052.713678</v>
      </c>
      <c r="G12" s="102">
        <f t="shared" si="4"/>
        <v>3362.034484</v>
      </c>
      <c r="H12" s="102">
        <f t="shared" si="4"/>
        <v>2788.794468</v>
      </c>
      <c r="I12" s="102">
        <f t="shared" si="4"/>
        <v>2448.069863</v>
      </c>
      <c r="J12" s="102">
        <f t="shared" si="4"/>
        <v>2010.200102</v>
      </c>
      <c r="K12" s="102">
        <f t="shared" si="4"/>
        <v>1604.737651</v>
      </c>
      <c r="L12" s="102">
        <f t="shared" si="4"/>
        <v>1254.876897</v>
      </c>
      <c r="M12" s="102" t="str">
        <f t="shared" si="4"/>
        <v/>
      </c>
    </row>
    <row r="13" ht="15.75" customHeight="1">
      <c r="A13" s="27"/>
      <c r="B13" s="96" t="s">
        <v>148</v>
      </c>
      <c r="C13" s="97">
        <v>8.66</v>
      </c>
      <c r="D13" s="97">
        <v>5.29</v>
      </c>
      <c r="E13" s="97">
        <v>1.09</v>
      </c>
      <c r="F13" s="97">
        <v>0.6</v>
      </c>
      <c r="G13" s="97">
        <v>1.81</v>
      </c>
      <c r="H13" s="97">
        <v>0.0</v>
      </c>
      <c r="I13" s="97">
        <v>0.0</v>
      </c>
      <c r="J13" s="97">
        <v>0.0</v>
      </c>
      <c r="K13" s="97">
        <v>0.0</v>
      </c>
      <c r="L13" s="97">
        <v>0.0</v>
      </c>
      <c r="M13" s="98"/>
    </row>
    <row r="14" ht="15.75" customHeight="1">
      <c r="A14" s="27"/>
      <c r="B14" s="96" t="s">
        <v>149</v>
      </c>
      <c r="C14" s="103">
        <v>0.146951567</v>
      </c>
      <c r="D14" s="103">
        <v>0.161387362</v>
      </c>
      <c r="E14" s="103">
        <v>0.16009534</v>
      </c>
      <c r="F14" s="103">
        <v>0.163921337</v>
      </c>
      <c r="G14" s="103">
        <v>0.162221342</v>
      </c>
      <c r="H14" s="103">
        <v>0.167060216</v>
      </c>
      <c r="I14" s="103">
        <v>0.166595822</v>
      </c>
      <c r="J14" s="103">
        <v>0.161429724</v>
      </c>
      <c r="K14" s="103">
        <v>0.186878043</v>
      </c>
      <c r="L14" s="103">
        <v>0.189354475</v>
      </c>
      <c r="M14" s="103"/>
    </row>
    <row r="15" ht="15.75" customHeight="1">
      <c r="A15" s="27"/>
      <c r="B15" s="101" t="s">
        <v>150</v>
      </c>
      <c r="C15" s="97">
        <v>0.71</v>
      </c>
      <c r="D15" s="97">
        <v>6.17</v>
      </c>
      <c r="E15" s="97">
        <v>3.06</v>
      </c>
      <c r="F15" s="97">
        <v>1.86</v>
      </c>
      <c r="G15" s="97">
        <v>0.04</v>
      </c>
      <c r="H15" s="97">
        <v>0.2</v>
      </c>
      <c r="I15" s="97">
        <v>0.02</v>
      </c>
      <c r="J15" s="97">
        <v>0.0</v>
      </c>
      <c r="K15" s="97">
        <v>0.0</v>
      </c>
      <c r="L15" s="97">
        <v>0.0</v>
      </c>
      <c r="M15" s="98"/>
    </row>
    <row r="16" ht="15.75" customHeight="1">
      <c r="A16" s="27"/>
      <c r="B16" s="96" t="s">
        <v>151</v>
      </c>
      <c r="C16" s="97">
        <v>27578.87</v>
      </c>
      <c r="D16" s="97">
        <v>24200.14</v>
      </c>
      <c r="E16" s="97">
        <v>20269.37</v>
      </c>
      <c r="F16" s="97">
        <v>15807.76</v>
      </c>
      <c r="G16" s="97">
        <v>11794.43</v>
      </c>
      <c r="H16" s="97">
        <v>8828.2</v>
      </c>
      <c r="I16" s="97">
        <v>7174.76</v>
      </c>
      <c r="J16" s="97">
        <v>7032.61</v>
      </c>
      <c r="K16" s="97">
        <v>3419.61</v>
      </c>
      <c r="L16" s="97">
        <v>3464.75</v>
      </c>
      <c r="M16" s="98"/>
    </row>
    <row r="17" ht="15.75" customHeight="1">
      <c r="A17" s="27"/>
      <c r="B17" s="96" t="s">
        <v>152</v>
      </c>
      <c r="C17" s="97">
        <v>9476.69</v>
      </c>
      <c r="D17" s="97">
        <v>9080.34</v>
      </c>
      <c r="E17" s="97">
        <v>7978.44</v>
      </c>
      <c r="F17" s="97">
        <v>6120.73</v>
      </c>
      <c r="G17" s="97">
        <v>4514.18</v>
      </c>
      <c r="H17" s="97">
        <v>3403.61</v>
      </c>
      <c r="I17" s="97">
        <v>2703.61</v>
      </c>
      <c r="J17" s="97">
        <v>3464.61</v>
      </c>
      <c r="K17" s="97">
        <v>2791.54</v>
      </c>
      <c r="L17" s="97">
        <v>2440.64</v>
      </c>
      <c r="M17" s="98"/>
    </row>
    <row r="18" ht="15.75" customHeight="1">
      <c r="A18" s="27"/>
      <c r="B18" s="101" t="s">
        <v>153</v>
      </c>
      <c r="C18" s="97">
        <v>126.0</v>
      </c>
      <c r="D18" s="97">
        <v>92.6</v>
      </c>
      <c r="E18" s="97">
        <v>19.6</v>
      </c>
      <c r="F18" s="97">
        <v>19.6</v>
      </c>
      <c r="G18" s="97">
        <v>0.0</v>
      </c>
      <c r="H18" s="97">
        <v>0.0</v>
      </c>
      <c r="I18" s="97">
        <v>0.0</v>
      </c>
      <c r="J18" s="97">
        <v>21.0</v>
      </c>
      <c r="K18" s="97">
        <v>28.0</v>
      </c>
      <c r="L18" s="97">
        <v>40.0</v>
      </c>
      <c r="M18" s="98"/>
    </row>
    <row r="19" ht="15.75" customHeight="1">
      <c r="A19" s="27"/>
      <c r="B19" s="101" t="s">
        <v>154</v>
      </c>
      <c r="C19" s="97">
        <v>54.07</v>
      </c>
      <c r="D19" s="97">
        <v>0.0</v>
      </c>
      <c r="E19" s="97">
        <v>0.0</v>
      </c>
      <c r="F19" s="97">
        <v>0.0</v>
      </c>
      <c r="G19" s="97">
        <v>0.0</v>
      </c>
      <c r="H19" s="97">
        <v>0.0</v>
      </c>
      <c r="I19" s="97">
        <v>0.0</v>
      </c>
      <c r="J19" s="97">
        <v>0.0</v>
      </c>
      <c r="K19" s="97">
        <v>0.0</v>
      </c>
      <c r="L19" s="97">
        <v>0.0</v>
      </c>
      <c r="M19" s="98"/>
    </row>
    <row r="20" ht="15.75" customHeight="1">
      <c r="A20" s="27"/>
      <c r="B20" s="96" t="s">
        <v>155</v>
      </c>
      <c r="C20" s="102">
        <f t="shared" ref="C20:M20" si="5">IF(C7="","",C18+C19)</f>
        <v>180.07</v>
      </c>
      <c r="D20" s="102">
        <f t="shared" si="5"/>
        <v>92.6</v>
      </c>
      <c r="E20" s="102">
        <f t="shared" si="5"/>
        <v>19.6</v>
      </c>
      <c r="F20" s="102">
        <f t="shared" si="5"/>
        <v>19.6</v>
      </c>
      <c r="G20" s="102">
        <f t="shared" si="5"/>
        <v>0</v>
      </c>
      <c r="H20" s="102">
        <f t="shared" si="5"/>
        <v>0</v>
      </c>
      <c r="I20" s="102">
        <f t="shared" si="5"/>
        <v>0</v>
      </c>
      <c r="J20" s="102">
        <f t="shared" si="5"/>
        <v>21</v>
      </c>
      <c r="K20" s="102">
        <f t="shared" si="5"/>
        <v>28</v>
      </c>
      <c r="L20" s="102">
        <f t="shared" si="5"/>
        <v>40</v>
      </c>
      <c r="M20" s="102" t="str">
        <f t="shared" si="5"/>
        <v/>
      </c>
    </row>
    <row r="21" ht="15.75" customHeight="1">
      <c r="A21" s="27"/>
      <c r="B21" s="96" t="s">
        <v>156</v>
      </c>
      <c r="C21" s="97">
        <v>23499.85</v>
      </c>
      <c r="D21" s="97">
        <v>20166.03</v>
      </c>
      <c r="E21" s="97">
        <v>16597.71</v>
      </c>
      <c r="F21" s="97">
        <v>13887.83</v>
      </c>
      <c r="G21" s="97">
        <v>11764.17</v>
      </c>
      <c r="H21" s="97">
        <v>10013.77</v>
      </c>
      <c r="I21" s="97">
        <v>8751.13</v>
      </c>
      <c r="J21" s="97">
        <v>7487.91</v>
      </c>
      <c r="K21" s="97">
        <v>3914.44</v>
      </c>
      <c r="L21" s="97">
        <v>3658.93</v>
      </c>
      <c r="M21" s="98"/>
    </row>
    <row r="22" ht="15.75" customHeight="1">
      <c r="A22" s="27"/>
      <c r="B22" s="96" t="s">
        <v>157</v>
      </c>
      <c r="C22" s="97">
        <v>98.33</v>
      </c>
      <c r="D22" s="97">
        <v>97.62</v>
      </c>
      <c r="E22" s="97">
        <v>15.75</v>
      </c>
      <c r="F22" s="97">
        <v>12.69</v>
      </c>
      <c r="G22" s="97">
        <v>10.83</v>
      </c>
      <c r="H22" s="97">
        <v>0.0</v>
      </c>
      <c r="I22" s="97">
        <v>0.0</v>
      </c>
      <c r="J22" s="97">
        <v>0.0</v>
      </c>
      <c r="K22" s="97">
        <v>0.0</v>
      </c>
      <c r="L22" s="97">
        <v>0.0</v>
      </c>
      <c r="M22" s="98"/>
    </row>
    <row r="23" ht="15.75" customHeight="1">
      <c r="A23" s="27"/>
      <c r="B23" s="96" t="s">
        <v>158</v>
      </c>
      <c r="C23" s="97">
        <v>14000.8</v>
      </c>
      <c r="D23" s="97">
        <v>15516.68</v>
      </c>
      <c r="E23" s="97">
        <v>13434.8</v>
      </c>
      <c r="F23" s="97">
        <v>9425.83</v>
      </c>
      <c r="G23" s="97">
        <v>5573.37</v>
      </c>
      <c r="H23" s="97">
        <v>5168.7</v>
      </c>
      <c r="I23" s="97">
        <v>4487.5</v>
      </c>
      <c r="J23" s="97">
        <v>3890.29</v>
      </c>
      <c r="K23" s="97">
        <v>2218.93</v>
      </c>
      <c r="L23" s="97">
        <v>2309.99</v>
      </c>
      <c r="M23" s="98"/>
    </row>
    <row r="24" ht="15.75" customHeight="1">
      <c r="A24" s="27"/>
      <c r="B24" s="96" t="s">
        <v>159</v>
      </c>
      <c r="C24" s="97">
        <v>0.0</v>
      </c>
      <c r="D24" s="97">
        <v>0.0</v>
      </c>
      <c r="E24" s="97">
        <v>0.0</v>
      </c>
      <c r="F24" s="97">
        <v>0.0</v>
      </c>
      <c r="G24" s="97">
        <v>0.0</v>
      </c>
      <c r="H24" s="97">
        <v>0.0</v>
      </c>
      <c r="I24" s="97">
        <v>0.0</v>
      </c>
      <c r="J24" s="97">
        <v>0.0</v>
      </c>
      <c r="K24" s="97">
        <v>0.0</v>
      </c>
      <c r="L24" s="97">
        <v>0.0</v>
      </c>
      <c r="M24" s="98"/>
    </row>
    <row r="25" ht="15.75" customHeight="1">
      <c r="A25" s="27"/>
      <c r="B25" s="101" t="s">
        <v>160</v>
      </c>
      <c r="C25" s="102">
        <f t="shared" ref="C25:M25" si="6">IF(C21="","",C20+C21-C23)</f>
        <v>9679.12</v>
      </c>
      <c r="D25" s="102">
        <f t="shared" si="6"/>
        <v>4741.95</v>
      </c>
      <c r="E25" s="102">
        <f t="shared" si="6"/>
        <v>3182.51</v>
      </c>
      <c r="F25" s="102">
        <f t="shared" si="6"/>
        <v>4481.6</v>
      </c>
      <c r="G25" s="102">
        <f t="shared" si="6"/>
        <v>6190.8</v>
      </c>
      <c r="H25" s="102">
        <f t="shared" si="6"/>
        <v>4845.07</v>
      </c>
      <c r="I25" s="102">
        <f t="shared" si="6"/>
        <v>4263.63</v>
      </c>
      <c r="J25" s="102">
        <f t="shared" si="6"/>
        <v>3618.62</v>
      </c>
      <c r="K25" s="102">
        <f t="shared" si="6"/>
        <v>1723.51</v>
      </c>
      <c r="L25" s="102">
        <f t="shared" si="6"/>
        <v>1388.94</v>
      </c>
      <c r="M25" s="102" t="str">
        <f t="shared" si="6"/>
        <v/>
      </c>
    </row>
    <row r="26" ht="15.75" customHeight="1">
      <c r="A26" s="27"/>
      <c r="B26" s="101" t="s">
        <v>161</v>
      </c>
      <c r="C26" s="97">
        <v>574.34</v>
      </c>
      <c r="D26" s="97">
        <v>944.28</v>
      </c>
      <c r="E26" s="97">
        <v>-134.42</v>
      </c>
      <c r="F26" s="104">
        <v>-539.98</v>
      </c>
      <c r="G26" s="104">
        <v>-271.2</v>
      </c>
      <c r="H26" s="104">
        <v>720.74</v>
      </c>
      <c r="I26" s="104">
        <v>689.35</v>
      </c>
      <c r="J26" s="104">
        <v>1291.56</v>
      </c>
      <c r="K26" s="104">
        <v>1221.59</v>
      </c>
      <c r="L26" s="104"/>
      <c r="M26" s="105"/>
    </row>
    <row r="27" ht="15.75" customHeight="1">
      <c r="A27" s="27"/>
      <c r="B27" s="96" t="s">
        <v>162</v>
      </c>
      <c r="C27" s="99">
        <f t="shared" ref="C27:L27" si="7">IF(D21="","",C26/C7)</f>
        <v>0.02296989725</v>
      </c>
      <c r="D27" s="99">
        <f t="shared" si="7"/>
        <v>0.04143056274</v>
      </c>
      <c r="E27" s="99">
        <f t="shared" si="7"/>
        <v>-0.006789955392</v>
      </c>
      <c r="F27" s="99">
        <f t="shared" si="7"/>
        <v>-0.0316992359</v>
      </c>
      <c r="G27" s="99">
        <f t="shared" si="7"/>
        <v>-0.01859532607</v>
      </c>
      <c r="H27" s="99">
        <f t="shared" si="7"/>
        <v>0.05785098759</v>
      </c>
      <c r="I27" s="99">
        <f t="shared" si="7"/>
        <v>0.06103478013</v>
      </c>
      <c r="J27" s="99">
        <f t="shared" si="7"/>
        <v>0.1315610679</v>
      </c>
      <c r="K27" s="99">
        <f t="shared" si="7"/>
        <v>0.1453998588</v>
      </c>
      <c r="L27" s="99" t="str">
        <f t="shared" si="7"/>
        <v/>
      </c>
      <c r="M27" s="106"/>
    </row>
    <row r="28" ht="15.75" customHeight="1">
      <c r="A28" s="27"/>
      <c r="B28" s="96" t="s">
        <v>163</v>
      </c>
      <c r="C28" s="97">
        <v>724.09</v>
      </c>
      <c r="D28" s="97">
        <v>574.89</v>
      </c>
      <c r="E28" s="97">
        <v>478.61</v>
      </c>
      <c r="F28" s="97">
        <v>442.97</v>
      </c>
      <c r="G28" s="97">
        <v>441.95</v>
      </c>
      <c r="H28" s="97">
        <v>381.22</v>
      </c>
      <c r="I28" s="97">
        <v>353.63</v>
      </c>
      <c r="J28" s="97">
        <v>282.79</v>
      </c>
      <c r="K28" s="97">
        <v>224.96</v>
      </c>
      <c r="L28" s="97">
        <v>199.63</v>
      </c>
      <c r="M28" s="98"/>
    </row>
    <row r="29" ht="15.75" customHeight="1">
      <c r="A29" s="27"/>
      <c r="B29" s="101" t="s">
        <v>164</v>
      </c>
      <c r="C29" s="102">
        <f t="shared" ref="C29:L29" si="8">if(C16="","",C26+C28)</f>
        <v>1298.43</v>
      </c>
      <c r="D29" s="102">
        <f t="shared" si="8"/>
        <v>1519.17</v>
      </c>
      <c r="E29" s="102">
        <f t="shared" si="8"/>
        <v>344.19</v>
      </c>
      <c r="F29" s="102">
        <f t="shared" si="8"/>
        <v>-97.01</v>
      </c>
      <c r="G29" s="102">
        <f t="shared" si="8"/>
        <v>170.75</v>
      </c>
      <c r="H29" s="102">
        <f t="shared" si="8"/>
        <v>1101.96</v>
      </c>
      <c r="I29" s="102">
        <f t="shared" si="8"/>
        <v>1042.98</v>
      </c>
      <c r="J29" s="102">
        <f t="shared" si="8"/>
        <v>1574.35</v>
      </c>
      <c r="K29" s="102">
        <f t="shared" si="8"/>
        <v>1446.55</v>
      </c>
      <c r="L29" s="102">
        <f t="shared" si="8"/>
        <v>199.63</v>
      </c>
      <c r="M29" s="102" t="str">
        <f>if(M16="","",#REF!+M28)</f>
        <v/>
      </c>
    </row>
    <row r="30" ht="15.75" customHeight="1">
      <c r="A30" s="27"/>
      <c r="B30" s="96" t="s">
        <v>165</v>
      </c>
      <c r="C30" s="98">
        <v>0.0</v>
      </c>
      <c r="D30" s="98">
        <v>0.0</v>
      </c>
      <c r="E30" s="98">
        <v>0.0</v>
      </c>
      <c r="F30" s="98">
        <v>0.0</v>
      </c>
      <c r="G30" s="98">
        <v>0.0</v>
      </c>
      <c r="H30" s="97">
        <v>0.0</v>
      </c>
      <c r="I30" s="97">
        <v>0.0</v>
      </c>
      <c r="J30" s="97">
        <v>0.0</v>
      </c>
      <c r="K30" s="97">
        <v>0.0</v>
      </c>
      <c r="L30" s="97">
        <v>0.0</v>
      </c>
      <c r="M30" s="98"/>
    </row>
    <row r="31" ht="15.75" customHeight="1">
      <c r="A31" s="27"/>
      <c r="B31" s="96" t="s">
        <v>166</v>
      </c>
      <c r="C31" s="102">
        <f t="shared" ref="C31:M31" si="9">IF(C7="","",C29-C30)</f>
        <v>1298.43</v>
      </c>
      <c r="D31" s="102">
        <f t="shared" si="9"/>
        <v>1519.17</v>
      </c>
      <c r="E31" s="102">
        <f t="shared" si="9"/>
        <v>344.19</v>
      </c>
      <c r="F31" s="102">
        <f t="shared" si="9"/>
        <v>-97.01</v>
      </c>
      <c r="G31" s="102">
        <f t="shared" si="9"/>
        <v>170.75</v>
      </c>
      <c r="H31" s="102">
        <f t="shared" si="9"/>
        <v>1101.96</v>
      </c>
      <c r="I31" s="102">
        <f t="shared" si="9"/>
        <v>1042.98</v>
      </c>
      <c r="J31" s="102">
        <f t="shared" si="9"/>
        <v>1574.35</v>
      </c>
      <c r="K31" s="102">
        <f t="shared" si="9"/>
        <v>1446.55</v>
      </c>
      <c r="L31" s="102">
        <f t="shared" si="9"/>
        <v>199.63</v>
      </c>
      <c r="M31" s="102" t="str">
        <f t="shared" si="9"/>
        <v/>
      </c>
    </row>
    <row r="32" ht="15.75" customHeight="1">
      <c r="A32" s="27"/>
      <c r="B32" s="96" t="s">
        <v>167</v>
      </c>
      <c r="C32" s="102">
        <f t="shared" ref="C32:M32" si="10">if(C16="","",(C16-C23)-(C17-C18))</f>
        <v>4227.38</v>
      </c>
      <c r="D32" s="102">
        <f t="shared" si="10"/>
        <v>-304.28</v>
      </c>
      <c r="E32" s="102">
        <f t="shared" si="10"/>
        <v>-1124.27</v>
      </c>
      <c r="F32" s="102">
        <f t="shared" si="10"/>
        <v>280.8</v>
      </c>
      <c r="G32" s="102">
        <f t="shared" si="10"/>
        <v>1706.88</v>
      </c>
      <c r="H32" s="102">
        <f t="shared" si="10"/>
        <v>255.89</v>
      </c>
      <c r="I32" s="102">
        <f t="shared" si="10"/>
        <v>-16.35</v>
      </c>
      <c r="J32" s="102">
        <f t="shared" si="10"/>
        <v>-301.29</v>
      </c>
      <c r="K32" s="102">
        <f t="shared" si="10"/>
        <v>-1562.86</v>
      </c>
      <c r="L32" s="102">
        <f t="shared" si="10"/>
        <v>-1245.88</v>
      </c>
      <c r="M32" s="102" t="str">
        <f t="shared" si="10"/>
        <v/>
      </c>
    </row>
    <row r="33" ht="15.75" customHeight="1">
      <c r="A33" s="27"/>
      <c r="B33" s="96" t="s">
        <v>168</v>
      </c>
      <c r="C33" s="102">
        <f t="shared" ref="C33:L33" si="11">if(D32="","",C32-D32)</f>
        <v>4531.66</v>
      </c>
      <c r="D33" s="102">
        <f t="shared" si="11"/>
        <v>819.99</v>
      </c>
      <c r="E33" s="102">
        <f t="shared" si="11"/>
        <v>-1405.07</v>
      </c>
      <c r="F33" s="102">
        <f t="shared" si="11"/>
        <v>-1426.08</v>
      </c>
      <c r="G33" s="102">
        <f t="shared" si="11"/>
        <v>1450.99</v>
      </c>
      <c r="H33" s="102">
        <f t="shared" si="11"/>
        <v>272.24</v>
      </c>
      <c r="I33" s="102">
        <f t="shared" si="11"/>
        <v>284.94</v>
      </c>
      <c r="J33" s="102">
        <f t="shared" si="11"/>
        <v>1261.57</v>
      </c>
      <c r="K33" s="102">
        <f t="shared" si="11"/>
        <v>-316.98</v>
      </c>
      <c r="L33" s="102" t="str">
        <f t="shared" si="11"/>
        <v/>
      </c>
      <c r="M33" s="100"/>
    </row>
    <row r="34" ht="15.75" customHeight="1">
      <c r="A34" s="27"/>
      <c r="B34" s="96" t="s">
        <v>169</v>
      </c>
      <c r="C34" s="99">
        <f t="shared" ref="C34:M34" si="12">IF(C21="","",C32/C7)</f>
        <v>0.1690679462</v>
      </c>
      <c r="D34" s="99">
        <f t="shared" si="12"/>
        <v>-0.0133503745</v>
      </c>
      <c r="E34" s="99">
        <f t="shared" si="12"/>
        <v>-0.05679023321</v>
      </c>
      <c r="F34" s="99">
        <f t="shared" si="12"/>
        <v>0.0164842132</v>
      </c>
      <c r="G34" s="99">
        <f t="shared" si="12"/>
        <v>0.117035362</v>
      </c>
      <c r="H34" s="99">
        <f t="shared" si="12"/>
        <v>0.02053929186</v>
      </c>
      <c r="I34" s="99">
        <f t="shared" si="12"/>
        <v>-0.001447622623</v>
      </c>
      <c r="J34" s="99">
        <f t="shared" si="12"/>
        <v>-0.03069004471</v>
      </c>
      <c r="K34" s="99">
        <f t="shared" si="12"/>
        <v>-0.1860195511</v>
      </c>
      <c r="L34" s="99">
        <f t="shared" si="12"/>
        <v>-0.1762308705</v>
      </c>
      <c r="M34" s="99" t="str">
        <f t="shared" si="12"/>
        <v/>
      </c>
    </row>
    <row r="35" ht="15.75" customHeight="1">
      <c r="A35" s="27"/>
      <c r="B35" s="96" t="s">
        <v>170</v>
      </c>
      <c r="C35" s="102">
        <f t="shared" ref="C35:L35" si="13">IF(C33="","",C26+C33)</f>
        <v>5106</v>
      </c>
      <c r="D35" s="102">
        <f t="shared" si="13"/>
        <v>1764.27</v>
      </c>
      <c r="E35" s="102">
        <f t="shared" si="13"/>
        <v>-1539.49</v>
      </c>
      <c r="F35" s="102">
        <f t="shared" si="13"/>
        <v>-1966.06</v>
      </c>
      <c r="G35" s="102">
        <f t="shared" si="13"/>
        <v>1179.79</v>
      </c>
      <c r="H35" s="102">
        <f t="shared" si="13"/>
        <v>992.98</v>
      </c>
      <c r="I35" s="102">
        <f t="shared" si="13"/>
        <v>974.29</v>
      </c>
      <c r="J35" s="102">
        <f t="shared" si="13"/>
        <v>2553.13</v>
      </c>
      <c r="K35" s="102">
        <f t="shared" si="13"/>
        <v>904.61</v>
      </c>
      <c r="L35" s="102" t="str">
        <f t="shared" si="13"/>
        <v/>
      </c>
      <c r="M35" s="107"/>
    </row>
    <row r="36" ht="15.75" customHeight="1">
      <c r="A36" s="27"/>
      <c r="B36" s="96" t="s">
        <v>52</v>
      </c>
      <c r="C36" s="99">
        <f t="shared" ref="C36:L36" si="14">IF(C33="","",C35/C12)</f>
        <v>0.8642168956</v>
      </c>
      <c r="D36" s="99">
        <f t="shared" si="14"/>
        <v>0.297108693</v>
      </c>
      <c r="E36" s="99">
        <f t="shared" si="14"/>
        <v>-0.3137138706</v>
      </c>
      <c r="F36" s="99">
        <f t="shared" si="14"/>
        <v>-0.4851218606</v>
      </c>
      <c r="G36" s="99">
        <f t="shared" si="14"/>
        <v>0.3509154964</v>
      </c>
      <c r="H36" s="99">
        <f t="shared" si="14"/>
        <v>0.3560606604</v>
      </c>
      <c r="I36" s="99">
        <f t="shared" si="14"/>
        <v>0.3979829232</v>
      </c>
      <c r="J36" s="99">
        <f t="shared" si="14"/>
        <v>1.270087489</v>
      </c>
      <c r="K36" s="99">
        <f t="shared" si="14"/>
        <v>0.5637120805</v>
      </c>
      <c r="L36" s="99" t="str">
        <f t="shared" si="14"/>
        <v/>
      </c>
      <c r="M36" s="107"/>
    </row>
    <row r="37" ht="15.75" customHeight="1">
      <c r="A37" s="27"/>
      <c r="B37" s="108" t="s">
        <v>171</v>
      </c>
    </row>
    <row r="38" ht="15.75" customHeight="1">
      <c r="A38" s="27"/>
      <c r="B38" s="101" t="s">
        <v>172</v>
      </c>
      <c r="C38" s="99">
        <f t="shared" ref="C38:M38" si="15">if(C9="","",C12/C7)</f>
        <v>0.2362914714</v>
      </c>
      <c r="D38" s="99">
        <f t="shared" si="15"/>
        <v>0.260537194</v>
      </c>
      <c r="E38" s="99">
        <f t="shared" si="15"/>
        <v>0.247882679</v>
      </c>
      <c r="F38" s="99">
        <f t="shared" si="15"/>
        <v>0.23791238</v>
      </c>
      <c r="G38" s="99">
        <f t="shared" si="15"/>
        <v>0.230524069</v>
      </c>
      <c r="H38" s="99">
        <f t="shared" si="15"/>
        <v>0.2238456505</v>
      </c>
      <c r="I38" s="99">
        <f t="shared" si="15"/>
        <v>0.2167511508</v>
      </c>
      <c r="J38" s="99">
        <f t="shared" si="15"/>
        <v>0.2047632879</v>
      </c>
      <c r="K38" s="99">
        <f t="shared" si="15"/>
        <v>0.1910040422</v>
      </c>
      <c r="L38" s="99">
        <f t="shared" si="15"/>
        <v>0.1775034899</v>
      </c>
      <c r="M38" s="99" t="str">
        <f t="shared" si="15"/>
        <v/>
      </c>
    </row>
    <row r="39" ht="15.75" customHeight="1">
      <c r="A39" s="27"/>
      <c r="B39" s="101" t="s">
        <v>173</v>
      </c>
      <c r="C39" s="109">
        <f t="shared" ref="C39:L39" si="16">if(D21="","",C7/D25)</f>
        <v>5.272942566</v>
      </c>
      <c r="D39" s="109">
        <f t="shared" si="16"/>
        <v>7.161602006</v>
      </c>
      <c r="E39" s="109">
        <f t="shared" si="16"/>
        <v>4.417371028</v>
      </c>
      <c r="F39" s="109">
        <f t="shared" si="16"/>
        <v>2.751579764</v>
      </c>
      <c r="G39" s="109">
        <f t="shared" si="16"/>
        <v>3.010134013</v>
      </c>
      <c r="H39" s="109">
        <f t="shared" si="16"/>
        <v>2.922054681</v>
      </c>
      <c r="I39" s="109">
        <f t="shared" si="16"/>
        <v>3.121184319</v>
      </c>
      <c r="J39" s="109">
        <f t="shared" si="16"/>
        <v>5.696044699</v>
      </c>
      <c r="K39" s="109">
        <f t="shared" si="16"/>
        <v>6.0489222</v>
      </c>
      <c r="L39" s="109" t="str">
        <f t="shared" si="16"/>
        <v/>
      </c>
      <c r="M39" s="110"/>
    </row>
    <row r="40" ht="15.75" customHeight="1">
      <c r="A40" s="27"/>
      <c r="B40" s="101" t="s">
        <v>174</v>
      </c>
      <c r="C40" s="99">
        <f t="shared" ref="C40:L40" si="17">IF(D21="","",C12/D25)</f>
        <v>1.245951357</v>
      </c>
      <c r="D40" s="99">
        <f t="shared" si="17"/>
        <v>1.865863691</v>
      </c>
      <c r="E40" s="99">
        <f t="shared" si="17"/>
        <v>1.094989765</v>
      </c>
      <c r="F40" s="99">
        <f t="shared" si="17"/>
        <v>0.6546348902</v>
      </c>
      <c r="G40" s="99">
        <f t="shared" si="17"/>
        <v>0.6939083407</v>
      </c>
      <c r="H40" s="99">
        <f t="shared" si="17"/>
        <v>0.6540892309</v>
      </c>
      <c r="I40" s="99">
        <f t="shared" si="17"/>
        <v>0.676520293</v>
      </c>
      <c r="J40" s="99">
        <f t="shared" si="17"/>
        <v>1.16634084</v>
      </c>
      <c r="K40" s="99">
        <f t="shared" si="17"/>
        <v>1.155368591</v>
      </c>
      <c r="L40" s="99" t="str">
        <f t="shared" si="17"/>
        <v/>
      </c>
      <c r="M40" s="110"/>
    </row>
    <row r="41" ht="15.75" customHeight="1">
      <c r="A41" s="27"/>
      <c r="B41" s="108" t="s">
        <v>175</v>
      </c>
    </row>
    <row r="42" ht="15.75" customHeight="1">
      <c r="A42" s="27"/>
      <c r="B42" s="101" t="s">
        <v>176</v>
      </c>
      <c r="C42" s="99">
        <f t="shared" ref="C42:M42" si="18">IF(C25="","",C19/C21)</f>
        <v>0.00230086575</v>
      </c>
      <c r="D42" s="99">
        <f t="shared" si="18"/>
        <v>0</v>
      </c>
      <c r="E42" s="99">
        <f t="shared" si="18"/>
        <v>0</v>
      </c>
      <c r="F42" s="99">
        <f t="shared" si="18"/>
        <v>0</v>
      </c>
      <c r="G42" s="99">
        <f t="shared" si="18"/>
        <v>0</v>
      </c>
      <c r="H42" s="99">
        <f t="shared" si="18"/>
        <v>0</v>
      </c>
      <c r="I42" s="99">
        <f t="shared" si="18"/>
        <v>0</v>
      </c>
      <c r="J42" s="99">
        <f t="shared" si="18"/>
        <v>0</v>
      </c>
      <c r="K42" s="99">
        <f t="shared" si="18"/>
        <v>0</v>
      </c>
      <c r="L42" s="99">
        <f t="shared" si="18"/>
        <v>0</v>
      </c>
      <c r="M42" s="99" t="str">
        <f t="shared" si="18"/>
        <v/>
      </c>
    </row>
    <row r="43" ht="15.75" customHeight="1">
      <c r="A43" s="27"/>
      <c r="B43" s="101" t="s">
        <v>177</v>
      </c>
      <c r="C43" s="99">
        <f t="shared" ref="C43:M43" si="19">IF(C25="","",C20/C21)</f>
        <v>0.007662602102</v>
      </c>
      <c r="D43" s="99">
        <f t="shared" si="19"/>
        <v>0.004591880504</v>
      </c>
      <c r="E43" s="99">
        <f t="shared" si="19"/>
        <v>0.001180885797</v>
      </c>
      <c r="F43" s="99">
        <f t="shared" si="19"/>
        <v>0.001411307598</v>
      </c>
      <c r="G43" s="99">
        <f t="shared" si="19"/>
        <v>0</v>
      </c>
      <c r="H43" s="99">
        <f t="shared" si="19"/>
        <v>0</v>
      </c>
      <c r="I43" s="99">
        <f t="shared" si="19"/>
        <v>0</v>
      </c>
      <c r="J43" s="99">
        <f t="shared" si="19"/>
        <v>0.002804520888</v>
      </c>
      <c r="K43" s="99">
        <f t="shared" si="19"/>
        <v>0.007153002728</v>
      </c>
      <c r="L43" s="99">
        <f t="shared" si="19"/>
        <v>0.01093215776</v>
      </c>
      <c r="M43" s="99" t="str">
        <f t="shared" si="19"/>
        <v/>
      </c>
    </row>
    <row r="44" ht="15.75" customHeight="1">
      <c r="A44" s="27"/>
      <c r="B44" s="101" t="s">
        <v>178</v>
      </c>
      <c r="C44" s="99">
        <f t="shared" ref="C44:M44" si="20">IF(C25="","",if(C20&lt;=0,"-",(C9+C28)/C20))</f>
        <v>42.48414505</v>
      </c>
      <c r="D44" s="99">
        <f t="shared" si="20"/>
        <v>81.38185745</v>
      </c>
      <c r="E44" s="99">
        <f t="shared" si="20"/>
        <v>317.922449</v>
      </c>
      <c r="F44" s="99">
        <f t="shared" si="20"/>
        <v>264.9913265</v>
      </c>
      <c r="G44" s="99" t="str">
        <f t="shared" si="20"/>
        <v>-</v>
      </c>
      <c r="H44" s="99" t="str">
        <f t="shared" si="20"/>
        <v>-</v>
      </c>
      <c r="I44" s="99" t="str">
        <f t="shared" si="20"/>
        <v>-</v>
      </c>
      <c r="J44" s="99">
        <f t="shared" si="20"/>
        <v>125.68</v>
      </c>
      <c r="K44" s="99">
        <f t="shared" si="20"/>
        <v>75.21928571</v>
      </c>
      <c r="L44" s="99">
        <f t="shared" si="20"/>
        <v>41.767</v>
      </c>
      <c r="M44" s="99" t="str">
        <f t="shared" si="20"/>
        <v/>
      </c>
    </row>
    <row r="45" ht="15.75" customHeight="1">
      <c r="A45" s="27"/>
      <c r="B45" s="101" t="s">
        <v>179</v>
      </c>
      <c r="C45" s="109">
        <f t="shared" ref="C45:M45" si="21">IF(C25="","",C16/C17)</f>
        <v>2.910179609</v>
      </c>
      <c r="D45" s="109">
        <f t="shared" si="21"/>
        <v>2.665113861</v>
      </c>
      <c r="E45" s="109">
        <f t="shared" si="21"/>
        <v>2.540517946</v>
      </c>
      <c r="F45" s="109">
        <f t="shared" si="21"/>
        <v>2.582659258</v>
      </c>
      <c r="G45" s="109">
        <f t="shared" si="21"/>
        <v>2.612751375</v>
      </c>
      <c r="H45" s="109">
        <f t="shared" si="21"/>
        <v>2.593775433</v>
      </c>
      <c r="I45" s="109">
        <f t="shared" si="21"/>
        <v>2.653770329</v>
      </c>
      <c r="J45" s="109">
        <f t="shared" si="21"/>
        <v>2.029841743</v>
      </c>
      <c r="K45" s="109">
        <f t="shared" si="21"/>
        <v>1.224990507</v>
      </c>
      <c r="L45" s="109">
        <f t="shared" si="21"/>
        <v>1.419607152</v>
      </c>
      <c r="M45" s="109" t="str">
        <f t="shared" si="21"/>
        <v/>
      </c>
    </row>
    <row r="46" ht="15.75" customHeight="1">
      <c r="A46" s="27"/>
    </row>
    <row r="47" ht="15.75" customHeight="1">
      <c r="A47" s="27"/>
      <c r="B47" s="1" t="s">
        <v>180</v>
      </c>
      <c r="C47" s="111"/>
      <c r="D47" s="111"/>
      <c r="E47" s="111"/>
      <c r="F47" s="111"/>
    </row>
    <row r="48" ht="15.75" customHeight="1">
      <c r="A48" s="27"/>
      <c r="B48" s="112" t="s">
        <v>181</v>
      </c>
      <c r="C48" s="113"/>
      <c r="F48" s="64"/>
    </row>
    <row r="49" ht="15.75" customHeight="1">
      <c r="A49" s="27"/>
      <c r="B49" s="74" t="s">
        <v>182</v>
      </c>
      <c r="D49" s="114">
        <f>Dashboard!G10</f>
        <v>0.03</v>
      </c>
      <c r="E49" s="29"/>
      <c r="I49" s="55"/>
    </row>
    <row r="50" ht="15.75" customHeight="1">
      <c r="A50" s="27"/>
      <c r="B50" s="74" t="s">
        <v>183</v>
      </c>
      <c r="C50" s="55"/>
      <c r="D50" s="115" t="s">
        <v>184</v>
      </c>
      <c r="E50" s="29"/>
      <c r="I50" s="116"/>
    </row>
    <row r="51" ht="15.75" customHeight="1">
      <c r="A51" s="27"/>
      <c r="D51" s="27"/>
      <c r="I51" s="116"/>
    </row>
    <row r="52" ht="15.75" customHeight="1">
      <c r="A52" s="27"/>
      <c r="B52" s="64" t="s">
        <v>185</v>
      </c>
      <c r="D52" s="117">
        <f>C9</f>
        <v>6926.03</v>
      </c>
      <c r="E52" s="29"/>
      <c r="F52" s="118" t="str">
        <f>IF(D$50="No Adjustment","✓","")</f>
        <v>✓</v>
      </c>
      <c r="I52" s="116"/>
    </row>
    <row r="53" ht="15.75" customHeight="1">
      <c r="A53" s="27"/>
      <c r="B53" s="74" t="s">
        <v>186</v>
      </c>
      <c r="D53" s="117">
        <f>C25*AVERAGE(C40:L40)</f>
        <v>9902.45709</v>
      </c>
      <c r="E53" s="29"/>
      <c r="F53" s="118" t="str">
        <f>IF(D$50="Average pre-tax ROC","✓","")</f>
        <v/>
      </c>
      <c r="I53" s="116"/>
    </row>
    <row r="54" ht="15.75" customHeight="1">
      <c r="A54" s="27"/>
      <c r="B54" s="64" t="s">
        <v>187</v>
      </c>
      <c r="D54" s="119"/>
      <c r="E54" s="29"/>
      <c r="F54" s="118" t="str">
        <f>IF(D$50="Direct Input","✓","")</f>
        <v/>
      </c>
    </row>
    <row r="55" ht="15.75" customHeight="1">
      <c r="A55" s="27"/>
    </row>
    <row r="56" ht="15.75" customHeight="1">
      <c r="A56" s="27"/>
      <c r="B56" s="112" t="s">
        <v>188</v>
      </c>
      <c r="C56" s="113"/>
    </row>
    <row r="57" ht="15.75" customHeight="1">
      <c r="A57" s="27"/>
      <c r="B57" s="64" t="s">
        <v>189</v>
      </c>
      <c r="D57" s="120">
        <v>0.25</v>
      </c>
      <c r="E57" s="29"/>
    </row>
    <row r="58" ht="15.75" customHeight="1">
      <c r="A58" s="27"/>
      <c r="B58" s="121" t="s">
        <v>190</v>
      </c>
      <c r="D58" s="115" t="s">
        <v>184</v>
      </c>
      <c r="E58" s="29"/>
      <c r="F58" s="122">
        <f>IF(D58="No Adjustment",D60,if(D58="Direct Input",D62,D61))</f>
        <v>0.146951567</v>
      </c>
    </row>
    <row r="59" ht="15.75" customHeight="1">
      <c r="A59" s="27"/>
    </row>
    <row r="60" ht="15.75" customHeight="1">
      <c r="A60" s="27"/>
      <c r="B60" s="64" t="s">
        <v>185</v>
      </c>
      <c r="D60" s="123">
        <f>C14</f>
        <v>0.146951567</v>
      </c>
      <c r="E60" s="29"/>
      <c r="F60" s="118" t="str">
        <f>IF(D$58="No Adjustment","✓","")</f>
        <v>✓</v>
      </c>
    </row>
    <row r="61" ht="15.75" customHeight="1">
      <c r="A61" s="27"/>
      <c r="B61" s="74" t="s">
        <v>191</v>
      </c>
      <c r="D61" s="123">
        <f>GEOMEAN(C14:M14)</f>
        <v>0.1661697786</v>
      </c>
      <c r="E61" s="29"/>
      <c r="F61" s="118" t="str">
        <f>IF(D$58="Average Effective Tax Rate","✓","")</f>
        <v/>
      </c>
    </row>
    <row r="62" ht="15.75" customHeight="1">
      <c r="A62" s="27"/>
      <c r="B62" s="74" t="s">
        <v>192</v>
      </c>
      <c r="D62" s="124">
        <f>D57</f>
        <v>0.25</v>
      </c>
      <c r="E62" s="29"/>
      <c r="F62" s="118" t="str">
        <f>IF(D$58="Direct Input","✓","")</f>
        <v/>
      </c>
    </row>
    <row r="63" ht="15.75" customHeight="1">
      <c r="A63" s="27"/>
      <c r="B63" s="27"/>
    </row>
    <row r="64" ht="15.75" customHeight="1">
      <c r="A64" s="27"/>
      <c r="B64" s="112" t="s">
        <v>193</v>
      </c>
      <c r="C64" s="113"/>
    </row>
    <row r="65" ht="15.75" customHeight="1">
      <c r="A65" s="27"/>
      <c r="B65" s="64" t="s">
        <v>194</v>
      </c>
      <c r="D65" s="125">
        <f>C40</f>
        <v>1.245951357</v>
      </c>
      <c r="E65" s="29"/>
      <c r="F65" s="126"/>
    </row>
    <row r="66" ht="15.75" customHeight="1">
      <c r="A66" s="27"/>
      <c r="B66" s="64" t="s">
        <v>195</v>
      </c>
      <c r="D66" s="125">
        <f>AVERAGE(C40:L40)</f>
        <v>1.023074111</v>
      </c>
      <c r="E66" s="29"/>
      <c r="F66" s="126"/>
    </row>
    <row r="67" ht="15.75" customHeight="1">
      <c r="A67" s="27"/>
      <c r="B67" s="74" t="s">
        <v>187</v>
      </c>
      <c r="D67" s="127"/>
      <c r="E67" s="29"/>
      <c r="F67" s="126"/>
    </row>
    <row r="68" ht="15.75" customHeight="1">
      <c r="A68" s="27"/>
    </row>
    <row r="69" ht="15.75" customHeight="1">
      <c r="A69" s="27"/>
      <c r="B69" s="112" t="s">
        <v>196</v>
      </c>
      <c r="C69" s="113"/>
    </row>
    <row r="70" ht="15.75" customHeight="1">
      <c r="A70" s="27"/>
      <c r="B70" s="64" t="s">
        <v>197</v>
      </c>
      <c r="D70" s="115" t="s">
        <v>184</v>
      </c>
      <c r="E70" s="29"/>
      <c r="F70" s="128"/>
    </row>
    <row r="71" ht="15.75" customHeight="1">
      <c r="A71" s="27"/>
    </row>
    <row r="72" ht="15.75" customHeight="1">
      <c r="A72" s="27"/>
      <c r="B72" s="64" t="s">
        <v>185</v>
      </c>
      <c r="D72" s="123">
        <f>C34</f>
        <v>0.1690679462</v>
      </c>
      <c r="E72" s="29"/>
      <c r="F72" s="118" t="str">
        <f>IF(D$70="No Adjustment","✓","")</f>
        <v>✓</v>
      </c>
    </row>
    <row r="73" ht="15.75" customHeight="1">
      <c r="A73" s="27"/>
      <c r="B73" s="74" t="s">
        <v>198</v>
      </c>
      <c r="D73" s="123" t="str">
        <f>GEOMEAN(C34:M34)</f>
        <v>#NUM!</v>
      </c>
      <c r="E73" s="29"/>
      <c r="F73" s="118" t="str">
        <f>IF(D$70="Average WC/Sales","✓","")</f>
        <v/>
      </c>
    </row>
    <row r="74" ht="15.75" customHeight="1">
      <c r="A74" s="27"/>
      <c r="B74" s="64" t="s">
        <v>187</v>
      </c>
      <c r="D74" s="129"/>
      <c r="E74" s="29"/>
      <c r="F74" s="118" t="str">
        <f>IF(D$70="Direct Input","✓","")</f>
        <v/>
      </c>
    </row>
    <row r="75" ht="15.75" customHeight="1">
      <c r="A75" s="27"/>
    </row>
    <row r="76" ht="15.75" customHeight="1">
      <c r="A76" s="27"/>
      <c r="B76" s="113" t="s">
        <v>199</v>
      </c>
      <c r="C76" s="113"/>
    </row>
    <row r="77" ht="15.75" customHeight="1">
      <c r="A77" s="27"/>
      <c r="B77" s="64" t="s">
        <v>200</v>
      </c>
      <c r="D77" s="130">
        <f>C20</f>
        <v>180.07</v>
      </c>
      <c r="E77" s="29"/>
    </row>
    <row r="78" ht="15.75" customHeight="1">
      <c r="A78" s="27"/>
      <c r="B78" s="64" t="s">
        <v>201</v>
      </c>
      <c r="D78" s="119">
        <v>0.0</v>
      </c>
      <c r="E78" s="29"/>
    </row>
    <row r="79" ht="15.75" customHeight="1">
      <c r="A79" s="27"/>
    </row>
    <row r="80" ht="15.75" customHeight="1">
      <c r="A80" s="27"/>
      <c r="B80" s="113" t="s">
        <v>202</v>
      </c>
      <c r="C80" s="113"/>
    </row>
    <row r="81" ht="15.75" customHeight="1">
      <c r="A81" s="27"/>
      <c r="B81" s="74" t="s">
        <v>203</v>
      </c>
      <c r="D81" s="115" t="s">
        <v>204</v>
      </c>
      <c r="E81" s="29"/>
      <c r="F81" s="131">
        <f>IF(D81="Direct Input",D84,D83)</f>
        <v>0</v>
      </c>
    </row>
    <row r="82" ht="15.75" customHeight="1">
      <c r="A82" s="27"/>
    </row>
    <row r="83" ht="15.75" customHeight="1">
      <c r="A83" s="27"/>
      <c r="B83" s="74" t="s">
        <v>205</v>
      </c>
      <c r="D83" s="117">
        <f>C24</f>
        <v>0</v>
      </c>
      <c r="E83" s="29"/>
    </row>
    <row r="84" ht="15.75" customHeight="1">
      <c r="A84" s="27"/>
      <c r="B84" s="64" t="s">
        <v>206</v>
      </c>
      <c r="D84" s="132"/>
      <c r="E84" s="29"/>
    </row>
    <row r="85" ht="15.75" customHeight="1">
      <c r="A85" s="27"/>
    </row>
    <row r="86" ht="15.75" customHeight="1">
      <c r="A86" s="27"/>
      <c r="B86" s="133" t="s">
        <v>207</v>
      </c>
      <c r="C86" s="113"/>
    </row>
    <row r="87" ht="15.75" customHeight="1">
      <c r="A87" s="27"/>
      <c r="B87" s="64" t="s">
        <v>208</v>
      </c>
      <c r="D87" s="127" t="s">
        <v>209</v>
      </c>
      <c r="E87" s="29"/>
      <c r="F87" s="134">
        <f>IF(D87="BV of the MI",D89,IF(D87="P/E Approach",D90,IF(D87="Direct Input",D92,D91)))</f>
        <v>98.33</v>
      </c>
    </row>
    <row r="88" ht="15.75" customHeight="1">
      <c r="A88" s="27"/>
    </row>
    <row r="89" ht="15.75" customHeight="1">
      <c r="A89" s="27"/>
      <c r="B89" s="64" t="s">
        <v>210</v>
      </c>
      <c r="D89" s="117">
        <f>C22</f>
        <v>98.33</v>
      </c>
      <c r="E89" s="29"/>
    </row>
    <row r="90" ht="15.75" customHeight="1">
      <c r="A90" s="27"/>
      <c r="B90" s="64" t="s">
        <v>211</v>
      </c>
      <c r="D90" s="117">
        <f>C15*Dashboard!C9</f>
        <v>270.4300913</v>
      </c>
      <c r="E90" s="29"/>
    </row>
    <row r="91" ht="15.75" customHeight="1">
      <c r="A91" s="27"/>
      <c r="B91" s="64" t="s">
        <v>212</v>
      </c>
      <c r="D91" s="117">
        <f>D89*Dashboard!C10</f>
        <v>1409.599742</v>
      </c>
      <c r="E91" s="29"/>
    </row>
    <row r="92" ht="15.75" customHeight="1">
      <c r="A92" s="27"/>
      <c r="B92" s="64" t="s">
        <v>213</v>
      </c>
      <c r="D92" s="119"/>
      <c r="E92" s="29"/>
    </row>
    <row r="93" ht="15.75" customHeight="1">
      <c r="A93" s="27"/>
    </row>
    <row r="94" ht="15.75" customHeight="1">
      <c r="A94" s="27"/>
      <c r="B94" s="113" t="s">
        <v>214</v>
      </c>
      <c r="C94" s="113"/>
    </row>
    <row r="95" ht="15.75" customHeight="1">
      <c r="A95" s="27"/>
      <c r="B95" s="64" t="s">
        <v>215</v>
      </c>
      <c r="D95" s="115" t="s">
        <v>204</v>
      </c>
      <c r="E95" s="29"/>
    </row>
    <row r="96" ht="15.75" customHeight="1">
      <c r="A96" s="27"/>
      <c r="B96" s="64" t="s">
        <v>216</v>
      </c>
      <c r="D96" s="135">
        <v>5.0</v>
      </c>
      <c r="E96" s="29"/>
    </row>
    <row r="97" ht="15.75" customHeight="1">
      <c r="A97" s="27"/>
      <c r="B97" s="136" t="s">
        <v>217</v>
      </c>
      <c r="C97" s="136" t="s">
        <v>218</v>
      </c>
      <c r="D97" s="137" t="s">
        <v>219</v>
      </c>
      <c r="E97" s="29"/>
      <c r="F97" s="138" t="s">
        <v>220</v>
      </c>
    </row>
    <row r="98" ht="15.75" customHeight="1">
      <c r="A98" s="27"/>
      <c r="B98" s="139" t="str">
        <f>C6</f>
        <v>FY 2021</v>
      </c>
      <c r="C98" s="140">
        <v>154.95</v>
      </c>
      <c r="D98" s="139">
        <f>1</f>
        <v>1</v>
      </c>
      <c r="E98" s="141">
        <f t="shared" ref="E98:E108" si="22">C98*D98</f>
        <v>154.95</v>
      </c>
      <c r="F98" s="142">
        <v>0.0</v>
      </c>
    </row>
    <row r="99" ht="15.75" customHeight="1">
      <c r="A99" s="27"/>
      <c r="B99" s="141">
        <f>IF(D7="","",-1)</f>
        <v>-1</v>
      </c>
      <c r="C99" s="140">
        <v>104.72</v>
      </c>
      <c r="D99" s="139">
        <f t="shared" ref="D99:D108" si="23">IF(B99&lt;0,(D$96+B99)/D$96,0)</f>
        <v>0.8</v>
      </c>
      <c r="E99" s="141">
        <f t="shared" si="22"/>
        <v>83.776</v>
      </c>
      <c r="F99" s="142">
        <f t="shared" ref="F99:F108" si="24">IF(B99&lt;0,C99/$D$96,0)</f>
        <v>20.944</v>
      </c>
    </row>
    <row r="100" ht="15.75" customHeight="1">
      <c r="A100" s="27"/>
      <c r="B100" s="141">
        <f t="shared" ref="B100:B108" si="25">IF((0-B99)&lt;$D$96,IF(B99&gt;-1, ,B99-1), )</f>
        <v>-2</v>
      </c>
      <c r="C100" s="140">
        <v>79.17</v>
      </c>
      <c r="D100" s="139">
        <f t="shared" si="23"/>
        <v>0.6</v>
      </c>
      <c r="E100" s="141">
        <f t="shared" si="22"/>
        <v>47.502</v>
      </c>
      <c r="F100" s="142">
        <f t="shared" si="24"/>
        <v>15.834</v>
      </c>
    </row>
    <row r="101" ht="15.75" customHeight="1">
      <c r="A101" s="27"/>
      <c r="B101" s="141">
        <f t="shared" si="25"/>
        <v>-3</v>
      </c>
      <c r="C101" s="140">
        <v>61.49</v>
      </c>
      <c r="D101" s="139">
        <f t="shared" si="23"/>
        <v>0.4</v>
      </c>
      <c r="E101" s="141">
        <f t="shared" si="22"/>
        <v>24.596</v>
      </c>
      <c r="F101" s="142">
        <f t="shared" si="24"/>
        <v>12.298</v>
      </c>
    </row>
    <row r="102" ht="15.75" customHeight="1">
      <c r="A102" s="27"/>
      <c r="B102" s="141">
        <f t="shared" si="25"/>
        <v>-4</v>
      </c>
      <c r="C102" s="140">
        <v>31.04</v>
      </c>
      <c r="D102" s="139">
        <f t="shared" si="23"/>
        <v>0.2</v>
      </c>
      <c r="E102" s="141">
        <f t="shared" si="22"/>
        <v>6.208</v>
      </c>
      <c r="F102" s="142">
        <f t="shared" si="24"/>
        <v>6.208</v>
      </c>
    </row>
    <row r="103" ht="15.75" customHeight="1">
      <c r="A103" s="27"/>
      <c r="B103" s="141">
        <f t="shared" si="25"/>
        <v>-5</v>
      </c>
      <c r="C103" s="140">
        <v>0.0</v>
      </c>
      <c r="D103" s="139">
        <f t="shared" si="23"/>
        <v>0</v>
      </c>
      <c r="E103" s="141">
        <f t="shared" si="22"/>
        <v>0</v>
      </c>
      <c r="F103" s="142">
        <f t="shared" si="24"/>
        <v>0</v>
      </c>
    </row>
    <row r="104" ht="15.75" customHeight="1">
      <c r="A104" s="27"/>
      <c r="B104" s="141" t="str">
        <f t="shared" si="25"/>
        <v/>
      </c>
      <c r="C104" s="143"/>
      <c r="D104" s="139">
        <f t="shared" si="23"/>
        <v>0</v>
      </c>
      <c r="E104" s="141">
        <f t="shared" si="22"/>
        <v>0</v>
      </c>
      <c r="F104" s="142">
        <f t="shared" si="24"/>
        <v>0</v>
      </c>
    </row>
    <row r="105" ht="15.75" customHeight="1">
      <c r="A105" s="27"/>
      <c r="B105" s="141" t="str">
        <f t="shared" si="25"/>
        <v/>
      </c>
      <c r="C105" s="143"/>
      <c r="D105" s="139">
        <f t="shared" si="23"/>
        <v>0</v>
      </c>
      <c r="E105" s="141">
        <f t="shared" si="22"/>
        <v>0</v>
      </c>
      <c r="F105" s="142">
        <f t="shared" si="24"/>
        <v>0</v>
      </c>
    </row>
    <row r="106" ht="15.75" customHeight="1">
      <c r="A106" s="27"/>
      <c r="B106" s="141" t="str">
        <f t="shared" si="25"/>
        <v/>
      </c>
      <c r="C106" s="143"/>
      <c r="D106" s="139">
        <f t="shared" si="23"/>
        <v>0</v>
      </c>
      <c r="E106" s="141">
        <f t="shared" si="22"/>
        <v>0</v>
      </c>
      <c r="F106" s="142">
        <f t="shared" si="24"/>
        <v>0</v>
      </c>
    </row>
    <row r="107" ht="15.75" customHeight="1">
      <c r="A107" s="27"/>
      <c r="B107" s="141" t="str">
        <f t="shared" si="25"/>
        <v/>
      </c>
      <c r="C107" s="143"/>
      <c r="D107" s="139">
        <f t="shared" si="23"/>
        <v>0</v>
      </c>
      <c r="E107" s="141">
        <f t="shared" si="22"/>
        <v>0</v>
      </c>
      <c r="F107" s="142">
        <f t="shared" si="24"/>
        <v>0</v>
      </c>
    </row>
    <row r="108" ht="15.75" customHeight="1">
      <c r="A108" s="27"/>
      <c r="B108" s="141" t="str">
        <f t="shared" si="25"/>
        <v/>
      </c>
      <c r="C108" s="143"/>
      <c r="D108" s="139">
        <f t="shared" si="23"/>
        <v>0</v>
      </c>
      <c r="E108" s="141">
        <f t="shared" si="22"/>
        <v>0</v>
      </c>
      <c r="F108" s="142">
        <f t="shared" si="24"/>
        <v>0</v>
      </c>
    </row>
    <row r="109" ht="15.75" customHeight="1">
      <c r="A109" s="27"/>
      <c r="B109" s="144" t="s">
        <v>221</v>
      </c>
      <c r="C109" s="145"/>
      <c r="D109" s="145"/>
      <c r="E109" s="141">
        <f>SUM(E98:E108)</f>
        <v>317.032</v>
      </c>
      <c r="F109" s="145"/>
    </row>
    <row r="110" ht="15.75" customHeight="1">
      <c r="A110" s="27"/>
      <c r="B110" s="144" t="s">
        <v>222</v>
      </c>
      <c r="C110" s="145"/>
      <c r="D110" s="145"/>
      <c r="F110" s="142">
        <f>SUM(F99:F108)</f>
        <v>55.284</v>
      </c>
    </row>
    <row r="111" ht="15.75" customHeight="1">
      <c r="A111" s="27"/>
      <c r="B111" s="146"/>
      <c r="C111" s="147" t="s">
        <v>223</v>
      </c>
      <c r="D111" s="148" t="s">
        <v>224</v>
      </c>
      <c r="E111" s="145"/>
      <c r="F111" s="145"/>
    </row>
    <row r="112" ht="15.75" customHeight="1">
      <c r="A112" s="27"/>
      <c r="B112" s="149" t="s">
        <v>225</v>
      </c>
      <c r="C112" s="102">
        <f>IF(D50="No Adjustment",D52,IF(D50="Direct Input",D54,D53))</f>
        <v>6926.03</v>
      </c>
      <c r="D112" s="150">
        <f>C112+C98-F110</f>
        <v>7025.696</v>
      </c>
    </row>
    <row r="113" ht="15.75" customHeight="1">
      <c r="A113" s="27"/>
      <c r="B113" s="149" t="s">
        <v>49</v>
      </c>
      <c r="C113" s="151">
        <f t="shared" ref="C113:D113" si="26">C112/$C$7</f>
        <v>0.2769965482</v>
      </c>
      <c r="D113" s="151">
        <f t="shared" si="26"/>
        <v>0.2809825456</v>
      </c>
      <c r="E113" s="152"/>
      <c r="F113" s="152"/>
    </row>
    <row r="114" ht="15.75" customHeight="1">
      <c r="A114" s="27"/>
      <c r="B114" s="149" t="s">
        <v>147</v>
      </c>
      <c r="C114" s="150">
        <f>C12</f>
        <v>5908.239038</v>
      </c>
      <c r="D114" s="150">
        <f>C114+C98-F110</f>
        <v>6007.905038</v>
      </c>
      <c r="E114" s="153" t="s">
        <v>226</v>
      </c>
      <c r="F114" s="153" t="s">
        <v>227</v>
      </c>
    </row>
    <row r="115" ht="15.75" customHeight="1">
      <c r="A115" s="27"/>
      <c r="B115" s="149" t="s">
        <v>228</v>
      </c>
      <c r="C115" s="150">
        <f>F4</f>
        <v>884.46</v>
      </c>
      <c r="D115" s="150">
        <f>C115+C98-F110</f>
        <v>984.126</v>
      </c>
      <c r="E115" s="154" t="s">
        <v>229</v>
      </c>
      <c r="F115" s="155" t="s">
        <v>230</v>
      </c>
    </row>
    <row r="116" ht="15.75" customHeight="1">
      <c r="A116" s="27"/>
      <c r="B116" s="149" t="s">
        <v>231</v>
      </c>
      <c r="C116" s="150">
        <f>C25</f>
        <v>9679.12</v>
      </c>
      <c r="D116" s="150">
        <f>C116+E109</f>
        <v>9996.152</v>
      </c>
      <c r="E116" s="154" t="s">
        <v>232</v>
      </c>
      <c r="F116" s="155" t="s">
        <v>233</v>
      </c>
    </row>
    <row r="117" ht="15.75" customHeight="1">
      <c r="A117" s="27"/>
      <c r="B117" s="149" t="s">
        <v>234</v>
      </c>
      <c r="C117" s="151">
        <f t="shared" ref="C117:D117" si="27">C114/C116</f>
        <v>0.6104107645</v>
      </c>
      <c r="D117" s="151">
        <f t="shared" si="27"/>
        <v>0.601021777</v>
      </c>
      <c r="E117" s="154" t="s">
        <v>235</v>
      </c>
      <c r="F117" s="155" t="s">
        <v>236</v>
      </c>
    </row>
    <row r="118" ht="15.75" customHeight="1">
      <c r="A118" s="27"/>
      <c r="B118" s="149" t="s">
        <v>164</v>
      </c>
      <c r="C118" s="150">
        <f>C29</f>
        <v>1298.43</v>
      </c>
      <c r="D118" s="150">
        <f>C118+C98</f>
        <v>1453.38</v>
      </c>
      <c r="E118" s="154" t="s">
        <v>237</v>
      </c>
      <c r="F118" s="155" t="s">
        <v>238</v>
      </c>
    </row>
    <row r="119" ht="15.75" customHeight="1">
      <c r="A119" s="27"/>
      <c r="B119" s="149" t="s">
        <v>166</v>
      </c>
      <c r="C119" s="150">
        <f t="shared" ref="C119:D119" si="28">C118+$C$30</f>
        <v>1298.43</v>
      </c>
      <c r="D119" s="150">
        <f t="shared" si="28"/>
        <v>1453.38</v>
      </c>
      <c r="E119" s="154" t="s">
        <v>239</v>
      </c>
      <c r="F119" s="155" t="s">
        <v>238</v>
      </c>
    </row>
    <row r="120" ht="15.75" customHeight="1">
      <c r="A120" s="27"/>
      <c r="B120" s="149" t="s">
        <v>163</v>
      </c>
      <c r="C120" s="150">
        <f>C28</f>
        <v>724.09</v>
      </c>
      <c r="D120" s="150">
        <f>C120+F110</f>
        <v>779.374</v>
      </c>
      <c r="E120" s="154" t="s">
        <v>240</v>
      </c>
      <c r="F120" s="155" t="s">
        <v>238</v>
      </c>
    </row>
    <row r="121" ht="15.75" customHeight="1">
      <c r="A121" s="27"/>
      <c r="B121" s="156" t="s">
        <v>241</v>
      </c>
      <c r="C121" s="157">
        <f t="shared" ref="C121:D121" si="29">C119-C120</f>
        <v>574.34</v>
      </c>
      <c r="D121" s="157">
        <f t="shared" si="29"/>
        <v>674.006</v>
      </c>
    </row>
    <row r="122" ht="15.75" customHeight="1">
      <c r="A122" s="27"/>
      <c r="B122" s="156" t="s">
        <v>162</v>
      </c>
      <c r="C122" s="158">
        <f t="shared" ref="C122:D122" si="30">C121/$C$7</f>
        <v>0.02296989725</v>
      </c>
      <c r="D122" s="158">
        <f t="shared" si="30"/>
        <v>0.02695589471</v>
      </c>
    </row>
    <row r="123" ht="15.75" customHeight="1">
      <c r="A123" s="27"/>
      <c r="B123" s="156" t="s">
        <v>170</v>
      </c>
      <c r="C123" s="157">
        <f t="shared" ref="C123:D123" si="31">C121+$C$33</f>
        <v>5106</v>
      </c>
      <c r="D123" s="157">
        <f t="shared" si="31"/>
        <v>5205.666</v>
      </c>
    </row>
    <row r="124" ht="15.75" customHeight="1">
      <c r="A124" s="27"/>
      <c r="B124" s="156" t="s">
        <v>52</v>
      </c>
      <c r="C124" s="158">
        <f t="shared" ref="C124:D124" si="32">C123/C114</f>
        <v>0.8642168956</v>
      </c>
      <c r="D124" s="158">
        <f t="shared" si="32"/>
        <v>0.866469421</v>
      </c>
    </row>
    <row r="125" ht="15.75" customHeight="1">
      <c r="A125" s="27"/>
    </row>
    <row r="126" ht="15.75" customHeight="1">
      <c r="A126" s="27"/>
    </row>
    <row r="127" ht="15.75" customHeight="1">
      <c r="A127" s="27"/>
    </row>
    <row r="128" ht="15.75" customHeight="1">
      <c r="A128" s="27"/>
    </row>
    <row r="129" ht="15.75" customHeight="1">
      <c r="A129" s="27"/>
    </row>
    <row r="130" ht="15.75" customHeight="1">
      <c r="A130" s="27"/>
    </row>
    <row r="131" ht="15.75" customHeight="1">
      <c r="A131" s="27"/>
    </row>
    <row r="132" ht="15.75" customHeight="1">
      <c r="A132" s="27"/>
    </row>
    <row r="133" ht="15.75" customHeight="1">
      <c r="A133" s="27"/>
    </row>
    <row r="134" ht="15.75" customHeight="1">
      <c r="A134" s="27"/>
    </row>
    <row r="135" ht="15.75" customHeight="1">
      <c r="A135" s="27"/>
    </row>
    <row r="136" ht="15.75" customHeight="1">
      <c r="A136" s="27"/>
    </row>
    <row r="137" ht="15.75" customHeight="1">
      <c r="A137" s="27"/>
    </row>
    <row r="138" ht="15.75" customHeight="1">
      <c r="A138" s="27"/>
    </row>
    <row r="139" ht="15.75" customHeight="1">
      <c r="A139" s="27"/>
    </row>
    <row r="140" ht="15.75" customHeight="1">
      <c r="A140" s="27"/>
    </row>
    <row r="141" ht="15.75" customHeight="1">
      <c r="A141" s="27"/>
    </row>
    <row r="142" ht="15.75" customHeight="1">
      <c r="A142" s="27"/>
    </row>
    <row r="143" ht="15.75" customHeight="1">
      <c r="A143" s="27"/>
    </row>
    <row r="144" ht="15.75" customHeight="1">
      <c r="A144" s="27"/>
    </row>
    <row r="145" ht="15.75" customHeight="1">
      <c r="A145" s="27"/>
    </row>
    <row r="146" ht="15.75" customHeight="1">
      <c r="A146" s="27"/>
    </row>
    <row r="147" ht="15.75" customHeight="1">
      <c r="A147" s="27"/>
    </row>
    <row r="148" ht="15.75" customHeight="1">
      <c r="A148" s="27"/>
    </row>
    <row r="149" ht="15.75" customHeight="1">
      <c r="A149" s="27"/>
    </row>
    <row r="150" ht="15.75" customHeight="1">
      <c r="A150" s="27"/>
    </row>
    <row r="151" ht="15.75" customHeight="1">
      <c r="A151" s="27"/>
    </row>
    <row r="152" ht="15.75" customHeight="1">
      <c r="A152" s="27"/>
    </row>
    <row r="153" ht="15.75" customHeight="1">
      <c r="A153" s="27"/>
    </row>
    <row r="154" ht="15.75" customHeight="1">
      <c r="A154" s="27"/>
    </row>
    <row r="155" ht="15.75" customHeight="1">
      <c r="A155" s="27"/>
    </row>
    <row r="156" ht="15.75" customHeight="1">
      <c r="A156" s="27"/>
    </row>
    <row r="157" ht="15.75" customHeight="1">
      <c r="A157" s="27"/>
    </row>
    <row r="158" ht="15.75" customHeight="1">
      <c r="A158" s="27"/>
    </row>
    <row r="159" ht="15.75" customHeight="1">
      <c r="A159" s="27"/>
    </row>
    <row r="160" ht="15.75" customHeight="1">
      <c r="A160" s="27"/>
    </row>
    <row r="161" ht="15.75" customHeight="1">
      <c r="A161" s="27"/>
    </row>
    <row r="162" ht="15.75" customHeight="1">
      <c r="A162" s="27"/>
    </row>
    <row r="163" ht="15.75" customHeight="1">
      <c r="A163" s="27"/>
    </row>
    <row r="164" ht="15.75" customHeight="1">
      <c r="A164" s="27"/>
    </row>
    <row r="165" ht="15.75" customHeight="1">
      <c r="A165" s="27"/>
    </row>
    <row r="166" ht="15.75" customHeight="1">
      <c r="A166" s="27"/>
    </row>
    <row r="167" ht="15.75" customHeight="1">
      <c r="A167" s="27"/>
    </row>
    <row r="168" ht="15.75" customHeight="1">
      <c r="A168" s="27"/>
    </row>
    <row r="169" ht="15.75" customHeight="1">
      <c r="A169" s="27"/>
    </row>
    <row r="170" ht="15.75" customHeight="1">
      <c r="A170" s="27"/>
    </row>
    <row r="171" ht="15.75" customHeight="1">
      <c r="A171" s="27"/>
    </row>
    <row r="172" ht="15.75" customHeight="1">
      <c r="A172" s="27"/>
    </row>
    <row r="173" ht="15.75" customHeight="1">
      <c r="A173" s="27"/>
    </row>
    <row r="174" ht="15.75" customHeight="1">
      <c r="A174" s="27"/>
    </row>
    <row r="175" ht="15.75" customHeight="1">
      <c r="A175" s="27"/>
    </row>
    <row r="176" ht="15.75" customHeight="1">
      <c r="A176" s="27"/>
    </row>
    <row r="177" ht="15.75" customHeight="1">
      <c r="A177" s="27"/>
    </row>
    <row r="178" ht="15.75" customHeight="1">
      <c r="A178" s="27"/>
    </row>
    <row r="179" ht="15.75" customHeight="1">
      <c r="A179" s="27"/>
    </row>
    <row r="180" ht="15.75" customHeight="1">
      <c r="A180" s="27"/>
    </row>
    <row r="181" ht="15.75" customHeight="1">
      <c r="A181" s="27"/>
    </row>
    <row r="182" ht="15.75" customHeight="1">
      <c r="A182" s="27"/>
    </row>
    <row r="183" ht="15.75" customHeight="1">
      <c r="A183" s="27"/>
    </row>
    <row r="184" ht="15.75" customHeight="1">
      <c r="A184" s="27"/>
    </row>
    <row r="185" ht="15.75" customHeight="1">
      <c r="A185" s="27"/>
    </row>
    <row r="186" ht="15.75" customHeight="1">
      <c r="A186" s="27"/>
    </row>
    <row r="187" ht="15.75" customHeight="1">
      <c r="A187" s="27"/>
    </row>
    <row r="188" ht="15.75" customHeight="1">
      <c r="A188" s="27"/>
    </row>
    <row r="189" ht="15.75" customHeight="1">
      <c r="A189" s="27"/>
    </row>
    <row r="190" ht="15.75" customHeight="1">
      <c r="A190" s="27"/>
    </row>
    <row r="191" ht="15.75" customHeight="1">
      <c r="A191" s="27"/>
    </row>
    <row r="192" ht="15.75" customHeight="1">
      <c r="A192" s="27"/>
    </row>
    <row r="193" ht="15.75" customHeight="1">
      <c r="A193" s="27"/>
    </row>
    <row r="194" ht="15.75" customHeight="1">
      <c r="A194" s="27"/>
    </row>
    <row r="195" ht="15.75" customHeight="1">
      <c r="A195" s="27"/>
    </row>
    <row r="196" ht="15.75" customHeight="1">
      <c r="A196" s="27"/>
    </row>
    <row r="197" ht="15.75" customHeight="1">
      <c r="A197" s="27"/>
    </row>
    <row r="198" ht="15.75" customHeight="1">
      <c r="A198" s="27"/>
    </row>
    <row r="199" ht="15.75" customHeight="1">
      <c r="A199" s="27"/>
    </row>
    <row r="200" ht="15.75" customHeight="1">
      <c r="A200" s="27"/>
    </row>
    <row r="201" ht="15.75" customHeight="1">
      <c r="A201" s="27"/>
    </row>
    <row r="202" ht="15.75" customHeight="1">
      <c r="A202" s="27"/>
    </row>
    <row r="203" ht="15.75" customHeight="1">
      <c r="A203" s="27"/>
    </row>
    <row r="204" ht="15.75" customHeight="1">
      <c r="A204" s="27"/>
    </row>
    <row r="205" ht="15.75" customHeight="1">
      <c r="A205" s="27"/>
    </row>
    <row r="206" ht="15.75" customHeight="1">
      <c r="A206" s="27"/>
    </row>
    <row r="207" ht="15.75" customHeight="1">
      <c r="A207" s="27"/>
    </row>
    <row r="208" ht="15.75" customHeight="1">
      <c r="A208" s="27"/>
    </row>
    <row r="209" ht="15.75" customHeight="1">
      <c r="A209" s="27"/>
    </row>
    <row r="210" ht="15.75" customHeight="1">
      <c r="A210" s="27"/>
    </row>
    <row r="211" ht="15.75" customHeight="1">
      <c r="A211" s="27"/>
    </row>
    <row r="212" ht="15.75" customHeight="1">
      <c r="A212" s="27"/>
    </row>
    <row r="213" ht="15.75" customHeight="1">
      <c r="A213" s="27"/>
    </row>
    <row r="214" ht="15.75" customHeight="1">
      <c r="A214" s="27"/>
    </row>
    <row r="215" ht="15.75" customHeight="1">
      <c r="A215" s="27"/>
    </row>
    <row r="216" ht="15.75" customHeight="1">
      <c r="A216" s="27"/>
    </row>
    <row r="217" ht="15.75" customHeight="1">
      <c r="A217" s="27"/>
    </row>
    <row r="218" ht="15.75" customHeight="1">
      <c r="A218" s="27"/>
    </row>
    <row r="219" ht="15.75" customHeight="1">
      <c r="A219" s="27"/>
    </row>
    <row r="220" ht="15.75" customHeight="1">
      <c r="A220" s="27"/>
    </row>
    <row r="221" ht="15.75" customHeight="1">
      <c r="A221" s="27"/>
    </row>
    <row r="222" ht="15.75" customHeight="1">
      <c r="A222" s="27"/>
    </row>
    <row r="223" ht="15.75" customHeight="1">
      <c r="A223" s="27"/>
    </row>
    <row r="224" ht="15.75" customHeight="1">
      <c r="A224" s="27"/>
    </row>
    <row r="225" ht="15.75" customHeight="1">
      <c r="A225" s="27"/>
    </row>
    <row r="226" ht="15.75" customHeight="1">
      <c r="A226" s="27"/>
    </row>
    <row r="227" ht="15.75" customHeight="1">
      <c r="A227" s="27"/>
    </row>
    <row r="228" ht="15.75" customHeight="1">
      <c r="A228" s="27"/>
    </row>
    <row r="229" ht="15.75" customHeight="1">
      <c r="A229" s="27"/>
    </row>
    <row r="230" ht="15.75" customHeight="1">
      <c r="A230" s="27"/>
    </row>
    <row r="231" ht="15.75" customHeight="1">
      <c r="A231" s="27"/>
    </row>
    <row r="232" ht="15.75" customHeight="1">
      <c r="A232" s="27"/>
    </row>
    <row r="233" ht="15.75" customHeight="1">
      <c r="A233" s="27"/>
    </row>
    <row r="234" ht="15.75" customHeight="1">
      <c r="A234" s="27"/>
    </row>
    <row r="235" ht="15.75" customHeight="1">
      <c r="A235" s="27"/>
    </row>
    <row r="236" ht="15.75" customHeight="1">
      <c r="A236" s="27"/>
    </row>
    <row r="237" ht="15.75" customHeight="1">
      <c r="A237" s="27"/>
    </row>
    <row r="238" ht="15.75" customHeight="1">
      <c r="A238" s="27"/>
    </row>
    <row r="239" ht="15.75" customHeight="1">
      <c r="A239" s="27"/>
    </row>
    <row r="240" ht="15.75" customHeight="1">
      <c r="A240" s="27"/>
    </row>
    <row r="241" ht="15.75" customHeight="1">
      <c r="A241" s="27"/>
    </row>
    <row r="242" ht="15.75" customHeight="1">
      <c r="A242" s="27"/>
    </row>
    <row r="243" ht="15.75" customHeight="1">
      <c r="A243" s="27"/>
    </row>
    <row r="244" ht="15.75" customHeight="1">
      <c r="A244" s="27"/>
    </row>
    <row r="245" ht="15.75" customHeight="1">
      <c r="A245" s="27"/>
    </row>
    <row r="246" ht="15.75" customHeight="1">
      <c r="A246" s="27"/>
    </row>
    <row r="247" ht="15.75" customHeight="1">
      <c r="A247" s="27"/>
    </row>
    <row r="248" ht="15.75" customHeight="1">
      <c r="A248" s="27"/>
    </row>
    <row r="249" ht="15.75" customHeight="1">
      <c r="A249" s="27"/>
    </row>
    <row r="250" ht="15.75" customHeight="1">
      <c r="A250" s="27"/>
    </row>
    <row r="251" ht="15.75" customHeight="1">
      <c r="A251" s="27"/>
    </row>
    <row r="252" ht="15.75" customHeight="1">
      <c r="A252" s="27"/>
    </row>
    <row r="253" ht="15.75" customHeight="1">
      <c r="A253" s="27"/>
    </row>
    <row r="254" ht="15.75" customHeight="1">
      <c r="A254" s="27"/>
    </row>
    <row r="255" ht="15.75" customHeight="1">
      <c r="A255" s="27"/>
    </row>
    <row r="256" ht="15.75" customHeight="1">
      <c r="A256" s="27"/>
    </row>
    <row r="257" ht="15.75" customHeight="1">
      <c r="A257" s="27"/>
    </row>
    <row r="258" ht="15.75" customHeight="1">
      <c r="A258" s="27"/>
    </row>
    <row r="259" ht="15.75" customHeight="1">
      <c r="A259" s="27"/>
    </row>
    <row r="260" ht="15.75" customHeight="1">
      <c r="A260" s="27"/>
    </row>
    <row r="261" ht="15.75" customHeight="1">
      <c r="A261" s="27"/>
    </row>
    <row r="262" ht="15.75" customHeight="1">
      <c r="A262" s="27"/>
    </row>
    <row r="263" ht="15.75" customHeight="1">
      <c r="A263" s="27"/>
    </row>
    <row r="264" ht="15.75" customHeight="1">
      <c r="A264" s="27"/>
    </row>
    <row r="265" ht="15.75" customHeight="1">
      <c r="A265" s="27"/>
    </row>
    <row r="266" ht="15.75" customHeight="1">
      <c r="A266" s="27"/>
    </row>
    <row r="267" ht="15.75" customHeight="1">
      <c r="A267" s="27"/>
    </row>
    <row r="268" ht="15.75" customHeight="1">
      <c r="A268" s="27"/>
    </row>
    <row r="269" ht="15.75" customHeight="1">
      <c r="A269" s="27"/>
    </row>
    <row r="270" ht="15.75" customHeight="1">
      <c r="A270" s="27"/>
    </row>
    <row r="271" ht="15.75" customHeight="1">
      <c r="A271" s="27"/>
    </row>
    <row r="272" ht="15.75" customHeight="1">
      <c r="A272" s="27"/>
    </row>
    <row r="273" ht="15.75" customHeight="1">
      <c r="A273" s="27"/>
    </row>
    <row r="274" ht="15.75" customHeight="1">
      <c r="A274" s="27"/>
    </row>
    <row r="275" ht="15.75" customHeight="1">
      <c r="A275" s="27"/>
    </row>
    <row r="276" ht="15.75" customHeight="1">
      <c r="A276" s="27"/>
    </row>
    <row r="277" ht="15.75" customHeight="1">
      <c r="A277" s="27"/>
    </row>
    <row r="278" ht="15.75" customHeight="1">
      <c r="A278" s="27"/>
    </row>
    <row r="279" ht="15.75" customHeight="1">
      <c r="A279" s="27"/>
    </row>
    <row r="280" ht="15.75" customHeight="1">
      <c r="A280" s="27"/>
    </row>
    <row r="281" ht="15.75" customHeight="1">
      <c r="A281" s="27"/>
    </row>
    <row r="282" ht="15.75" customHeight="1">
      <c r="A282" s="27"/>
    </row>
    <row r="283" ht="15.75" customHeight="1">
      <c r="A283" s="27"/>
    </row>
    <row r="284" ht="15.75" customHeight="1">
      <c r="A284" s="27"/>
    </row>
    <row r="285" ht="15.75" customHeight="1">
      <c r="A285" s="27"/>
    </row>
    <row r="286" ht="15.75" customHeight="1">
      <c r="A286" s="27"/>
    </row>
    <row r="287" ht="15.75" customHeight="1">
      <c r="A287" s="27"/>
    </row>
    <row r="288" ht="15.75" customHeight="1">
      <c r="A288" s="27"/>
    </row>
    <row r="289" ht="15.75" customHeight="1">
      <c r="A289" s="27"/>
    </row>
    <row r="290" ht="15.75" customHeight="1">
      <c r="A290" s="27"/>
    </row>
    <row r="291" ht="15.75" customHeight="1">
      <c r="A291" s="27"/>
    </row>
    <row r="292" ht="15.75" customHeight="1">
      <c r="A292" s="27"/>
    </row>
    <row r="293" ht="15.75" customHeight="1">
      <c r="A293" s="27"/>
    </row>
    <row r="294" ht="15.75" customHeight="1">
      <c r="A294" s="27"/>
    </row>
    <row r="295" ht="15.75" customHeight="1">
      <c r="A295" s="27"/>
    </row>
    <row r="296" ht="15.75" customHeight="1">
      <c r="A296" s="27"/>
    </row>
    <row r="297" ht="15.75" customHeight="1">
      <c r="A297" s="27"/>
    </row>
    <row r="298" ht="15.75" customHeight="1">
      <c r="A298" s="27"/>
    </row>
    <row r="299" ht="15.75" customHeight="1">
      <c r="A299" s="27"/>
    </row>
    <row r="300" ht="15.75" customHeight="1">
      <c r="A300" s="27"/>
    </row>
    <row r="301" ht="15.75" customHeight="1">
      <c r="A301" s="27"/>
    </row>
    <row r="302" ht="15.75" customHeight="1">
      <c r="A302" s="27"/>
    </row>
    <row r="303" ht="15.75" customHeight="1">
      <c r="A303" s="27"/>
    </row>
    <row r="304" ht="15.75" customHeight="1">
      <c r="A304" s="27"/>
    </row>
    <row r="305" ht="15.75" customHeight="1">
      <c r="A305" s="27"/>
    </row>
    <row r="306" ht="15.75" customHeight="1">
      <c r="A306" s="27"/>
    </row>
    <row r="307" ht="15.75" customHeight="1">
      <c r="A307" s="27"/>
    </row>
    <row r="308" ht="15.75" customHeight="1">
      <c r="A308" s="27"/>
    </row>
    <row r="309" ht="15.75" customHeight="1">
      <c r="A309" s="27"/>
    </row>
    <row r="310" ht="15.75" customHeight="1">
      <c r="A310" s="27"/>
    </row>
    <row r="311" ht="15.75" customHeight="1">
      <c r="A311" s="27"/>
    </row>
    <row r="312" ht="15.75" customHeight="1">
      <c r="A312" s="27"/>
    </row>
    <row r="313" ht="15.75" customHeight="1">
      <c r="A313" s="27"/>
    </row>
    <row r="314" ht="15.75" customHeight="1">
      <c r="A314" s="27"/>
    </row>
    <row r="315" ht="15.75" customHeight="1">
      <c r="A315" s="27"/>
    </row>
    <row r="316" ht="15.75" customHeight="1">
      <c r="A316" s="27"/>
    </row>
    <row r="317" ht="15.75" customHeight="1">
      <c r="A317" s="27"/>
    </row>
    <row r="318" ht="15.75" customHeight="1">
      <c r="A318" s="27"/>
    </row>
    <row r="319" ht="15.75" customHeight="1">
      <c r="A319" s="27"/>
    </row>
    <row r="320" ht="15.75" customHeight="1">
      <c r="A320" s="27"/>
    </row>
    <row r="321" ht="15.75" customHeight="1">
      <c r="A321" s="27"/>
    </row>
    <row r="322" ht="15.75" customHeight="1">
      <c r="A322" s="27"/>
    </row>
    <row r="323" ht="15.75" customHeight="1">
      <c r="A323" s="27"/>
    </row>
    <row r="324" ht="15.75" customHeight="1">
      <c r="A324" s="27"/>
    </row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</sheetData>
  <mergeCells count="49"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91:E91"/>
    <mergeCell ref="D92:E92"/>
    <mergeCell ref="D93:E93"/>
    <mergeCell ref="D94:E94"/>
    <mergeCell ref="D95:E95"/>
    <mergeCell ref="D96:E96"/>
    <mergeCell ref="D97:E97"/>
    <mergeCell ref="D84:E84"/>
    <mergeCell ref="D85:E85"/>
    <mergeCell ref="D86:E86"/>
    <mergeCell ref="D87:E87"/>
    <mergeCell ref="D88:E88"/>
    <mergeCell ref="D89:E89"/>
    <mergeCell ref="D90:E90"/>
  </mergeCells>
  <dataValidations>
    <dataValidation type="decimal" allowBlank="1" showDropDown="1" sqref="D96">
      <formula1>1.0</formula1>
      <formula2>10.0</formula2>
    </dataValidation>
    <dataValidation type="decimal" allowBlank="1" showDropDown="1" showErrorMessage="1" sqref="C3">
      <formula1>2000.0</formula1>
      <formula2>2100.0</formula2>
    </dataValidation>
    <dataValidation type="list" allowBlank="1" showErrorMessage="1" sqref="C4">
      <formula1>"H1,FY"</formula1>
    </dataValidation>
    <dataValidation type="list" allowBlank="1" sqref="D58">
      <formula1>"No Adjustment,Average Effective Tax Rate,Direct Input"</formula1>
    </dataValidation>
    <dataValidation type="list" allowBlank="1" sqref="D70">
      <formula1>"No Adjustment,Average WC/Sales,Direct Input"</formula1>
    </dataValidation>
    <dataValidation type="list" allowBlank="1" sqref="D50">
      <formula1>"No Adjustment,Average pre-tax ROC,Direct Input"</formula1>
    </dataValidation>
    <dataValidation type="list" allowBlank="1" sqref="D81">
      <formula1>"Yes,No"</formula1>
    </dataValidation>
    <dataValidation type="list" allowBlank="1" sqref="D95">
      <formula1>"Yes,No"</formula1>
    </dataValidation>
    <dataValidation type="list" allowBlank="1" sqref="D87">
      <formula1>"BV of the MI,P/E Approach,P/B Approach"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6" width="12.63"/>
  </cols>
  <sheetData>
    <row r="1" ht="15.75" customHeight="1">
      <c r="A1" s="111" t="s">
        <v>242</v>
      </c>
    </row>
    <row r="2" ht="15.75" customHeight="1">
      <c r="A2" s="113" t="s">
        <v>243</v>
      </c>
      <c r="B2" s="159" t="s">
        <v>40</v>
      </c>
    </row>
    <row r="3" ht="15.75" customHeight="1">
      <c r="A3" s="160" t="s">
        <v>244</v>
      </c>
      <c r="D3" s="160" t="s">
        <v>245</v>
      </c>
      <c r="H3" s="160" t="s">
        <v>246</v>
      </c>
    </row>
    <row r="4" ht="15.75" customHeight="1">
      <c r="A4" s="64" t="s">
        <v>247</v>
      </c>
      <c r="B4" s="99">
        <f>IF(Data!D70="No Adjustment",Data!D72,if(Data!D70="Direct Input",Data!D74,Data!D73))</f>
        <v>0.1690679462</v>
      </c>
      <c r="D4" s="64" t="s">
        <v>25</v>
      </c>
      <c r="F4" s="99">
        <f>Dashboard!G36</f>
        <v>0.03</v>
      </c>
      <c r="H4" s="64" t="s">
        <v>24</v>
      </c>
      <c r="J4" s="161">
        <f>IF(B2="Base Case",Dashboard!E34,IF(B2="Bear Case",Dashboard!D34,Dashboard!F34))</f>
        <v>4</v>
      </c>
    </row>
    <row r="5" ht="15.75" customHeight="1">
      <c r="A5" s="64" t="s">
        <v>248</v>
      </c>
      <c r="B5" s="162">
        <f>Dashboard!G11</f>
        <v>0.075</v>
      </c>
      <c r="D5" s="64" t="s">
        <v>248</v>
      </c>
      <c r="F5" s="162">
        <f>Dashboard!G12</f>
        <v>0.0975</v>
      </c>
      <c r="H5" s="74" t="s">
        <v>249</v>
      </c>
      <c r="J5" s="163">
        <f>_xlfn.FLOOR.MATH((J4/2))</f>
        <v>2</v>
      </c>
    </row>
    <row r="6" ht="15.75" customHeight="1"/>
    <row r="7" ht="15.75" customHeight="1">
      <c r="A7" s="113" t="s">
        <v>250</v>
      </c>
      <c r="B7" s="64" t="s">
        <v>251</v>
      </c>
    </row>
    <row r="8" ht="15.75" customHeight="1">
      <c r="A8" s="164" t="str">
        <f>"(Numbers in "&amp;Data!F3&amp;Dashboard!C11&amp;")"</f>
        <v>(Numbers in 1000000CNY)</v>
      </c>
      <c r="B8" s="165" t="str">
        <f>Data!C6</f>
        <v>FY 2021</v>
      </c>
      <c r="C8" s="165">
        <v>1.0</v>
      </c>
      <c r="D8" s="165">
        <v>2.0</v>
      </c>
      <c r="E8" s="165">
        <v>3.0</v>
      </c>
      <c r="F8" s="165">
        <v>4.0</v>
      </c>
      <c r="G8" s="165">
        <v>5.0</v>
      </c>
      <c r="H8" s="165">
        <v>6.0</v>
      </c>
      <c r="I8" s="165">
        <v>7.0</v>
      </c>
      <c r="J8" s="165">
        <v>8.0</v>
      </c>
      <c r="K8" s="165">
        <v>9.0</v>
      </c>
      <c r="L8" s="165">
        <v>10.0</v>
      </c>
      <c r="M8" s="165" t="s">
        <v>252</v>
      </c>
    </row>
    <row r="9" ht="15.75" customHeight="1">
      <c r="A9" s="166" t="s">
        <v>253</v>
      </c>
      <c r="B9" s="167">
        <f>IF(Data!D95="No",Data!C116,Data!D116)</f>
        <v>9996.152</v>
      </c>
      <c r="C9" s="167">
        <f>IF('Bear Model'!ModelYear&gt;'Bear Model'!EXP_CAP,"",B9+B23)</f>
        <v>15201.818</v>
      </c>
      <c r="D9" s="167">
        <f>IF('Bear Model'!ModelYear&gt;'Bear Model'!EXP_CAP,"",C9+C23)</f>
        <v>16533.21846</v>
      </c>
      <c r="E9" s="167">
        <f>IF('Bear Model'!ModelYear&gt;'Bear Model'!EXP_CAP,"",D9+D23)</f>
        <v>17719.83534</v>
      </c>
      <c r="F9" s="167">
        <f>IF('Bear Model'!ModelYear&gt;'Bear Model'!EXP_CAP,"",E9+E23)</f>
        <v>18459.14839</v>
      </c>
      <c r="G9" s="167" t="str">
        <f>IF('Bear Model'!ModelYear&gt;'Bear Model'!EXP_CAP,"",F9+F23)</f>
        <v/>
      </c>
      <c r="H9" s="167" t="str">
        <f>IF('Bear Model'!ModelYear&gt;'Bear Model'!EXP_CAP,"",G9+G23)</f>
        <v/>
      </c>
      <c r="I9" s="167" t="str">
        <f>IF('Bear Model'!ModelYear&gt;'Bear Model'!EXP_CAP,"",H9+H23)</f>
        <v/>
      </c>
      <c r="J9" s="167" t="str">
        <f>IF('Bear Model'!ModelYear&gt;'Bear Model'!EXP_CAP,"",I9+I23)</f>
        <v/>
      </c>
      <c r="K9" s="167" t="str">
        <f>IF('Bear Model'!ModelYear&gt;'Bear Model'!EXP_CAP,"",J9+J23)</f>
        <v/>
      </c>
      <c r="L9" s="167" t="str">
        <f>IF('Bear Model'!ModelYear&gt;'Bear Model'!EXP_CAP,"",K9+K23)</f>
        <v/>
      </c>
      <c r="M9" s="55"/>
    </row>
    <row r="10" ht="15.75" customHeight="1">
      <c r="A10" s="166" t="s">
        <v>254</v>
      </c>
      <c r="B10" s="55"/>
      <c r="C10" s="168">
        <f>IF('Bear Model'!ModelYear&gt;'Bear Model'!EXP_CAP,"",C11/B11-1)</f>
        <v>0.171452545</v>
      </c>
      <c r="D10" s="168">
        <f>IF('Bear Model'!ModelYear&gt;'Bear Model'!EXP_CAP,"",D11/C11-1)</f>
        <v>0.1293718433</v>
      </c>
      <c r="E10" s="168">
        <f>IF('Bear Model'!ModelYear&gt;'Bear Model'!EXP_CAP,"",E11/D11-1)</f>
        <v>0.04433568066</v>
      </c>
      <c r="F10" s="168">
        <f>IF('Bear Model'!ModelYear&gt;'Bear Model'!EXP_CAP,"",F11/E11-1)</f>
        <v>0.04236141989</v>
      </c>
      <c r="G10" s="168" t="str">
        <f>IF('Bear Model'!ModelYear&gt;'Bear Model'!EXP_CAP,"",G11/F11-1)</f>
        <v/>
      </c>
      <c r="H10" s="168" t="str">
        <f>IF('Bear Model'!ModelYear&gt;'Bear Model'!EXP_CAP,"",H11/G11-1)</f>
        <v/>
      </c>
      <c r="I10" s="168" t="str">
        <f>IF('Bear Model'!ModelYear&gt;'Bear Model'!EXP_CAP,"",I11/H11-1)</f>
        <v/>
      </c>
      <c r="J10" s="168" t="str">
        <f>IF('Bear Model'!ModelYear&gt;'Bear Model'!EXP_CAP,"",J11/I11-1)</f>
        <v/>
      </c>
      <c r="K10" s="168" t="str">
        <f>IF('Bear Model'!ModelYear&gt;'Bear Model'!EXP_CAP,"",K11/J11-1)</f>
        <v/>
      </c>
      <c r="L10" s="168" t="str">
        <f>IF('Bear Model'!ModelYear&gt;'Bear Model'!EXP_CAP,"",L11/K11-1)</f>
        <v/>
      </c>
      <c r="M10" s="168">
        <f>M11/INDIRECT(ADDRESS(ROW(A11),'Bear Model'!EXP_CAP+2))-1</f>
        <v>0.03</v>
      </c>
    </row>
    <row r="11" ht="15.75" customHeight="1">
      <c r="A11" s="64" t="s">
        <v>255</v>
      </c>
      <c r="B11" s="169">
        <f>Data!C7</f>
        <v>25004.03</v>
      </c>
      <c r="C11" s="169">
        <f>IF('Bear Model'!ModelYear&gt;'Bear Model'!EXP_CAP,"",C16/C12)</f>
        <v>29291.03458</v>
      </c>
      <c r="D11" s="169">
        <f>IF('Bear Model'!ModelYear&gt;'Bear Model'!EXP_CAP,"",D16/D12)</f>
        <v>33080.46972</v>
      </c>
      <c r="E11" s="169">
        <f>IF('Bear Model'!ModelYear&gt;'Bear Model'!EXP_CAP,"",E16/E12)</f>
        <v>34547.11486</v>
      </c>
      <c r="F11" s="169">
        <f>IF('Bear Model'!ModelYear&gt;'Bear Model'!EXP_CAP,"",F16/F12)</f>
        <v>36010.5797</v>
      </c>
      <c r="G11" s="169" t="str">
        <f>IF('Bear Model'!ModelYear&gt;'Bear Model'!EXP_CAP,"",G16/G12)</f>
        <v/>
      </c>
      <c r="H11" s="169" t="str">
        <f>IF('Bear Model'!ModelYear&gt;'Bear Model'!EXP_CAP,"",H16/H12)</f>
        <v/>
      </c>
      <c r="I11" s="169" t="str">
        <f>IF('Bear Model'!ModelYear&gt;'Bear Model'!EXP_CAP,"",I16/I12)</f>
        <v/>
      </c>
      <c r="J11" s="169" t="str">
        <f>IF('Bear Model'!ModelYear&gt;'Bear Model'!EXP_CAP,"",J16/J12)</f>
        <v/>
      </c>
      <c r="K11" s="169" t="str">
        <f>IF('Bear Model'!ModelYear&gt;'Bear Model'!EXP_CAP,"",K16/K12)</f>
        <v/>
      </c>
      <c r="L11" s="169" t="str">
        <f>IF('Bear Model'!ModelYear&gt;'Bear Model'!EXP_CAP,"",L16/L12)</f>
        <v/>
      </c>
      <c r="M11" s="169">
        <f>M16/M12</f>
        <v>37090.89709</v>
      </c>
    </row>
    <row r="12" ht="15.75" customHeight="1">
      <c r="A12" s="170" t="s">
        <v>256</v>
      </c>
      <c r="B12" s="168">
        <f>B16/B11</f>
        <v>0.2809825456</v>
      </c>
      <c r="C12" s="171">
        <f>B12*0.9</f>
        <v>0.2528842911</v>
      </c>
      <c r="D12" s="171">
        <f t="shared" ref="D12:F12" si="1">C12</f>
        <v>0.2528842911</v>
      </c>
      <c r="E12" s="171">
        <f t="shared" si="1"/>
        <v>0.2528842911</v>
      </c>
      <c r="F12" s="171">
        <f t="shared" si="1"/>
        <v>0.2528842911</v>
      </c>
      <c r="G12" s="172"/>
      <c r="H12" s="172"/>
      <c r="I12" s="172"/>
      <c r="J12" s="172"/>
      <c r="K12" s="172"/>
      <c r="L12" s="172"/>
      <c r="M12" s="172">
        <f>D12</f>
        <v>0.2528842911</v>
      </c>
    </row>
    <row r="13" ht="15.75" customHeight="1">
      <c r="A13" s="166" t="s">
        <v>257</v>
      </c>
      <c r="B13" s="173"/>
      <c r="C13" s="174">
        <v>0.45</v>
      </c>
      <c r="D13" s="174">
        <v>0.38</v>
      </c>
      <c r="E13" s="174">
        <v>0.37</v>
      </c>
      <c r="F13" s="174">
        <v>0.37</v>
      </c>
      <c r="G13" s="175"/>
      <c r="H13" s="175"/>
      <c r="I13" s="175"/>
      <c r="J13" s="175"/>
      <c r="K13" s="175"/>
      <c r="L13" s="175"/>
      <c r="M13" s="116"/>
    </row>
    <row r="14" ht="15.75" customHeight="1">
      <c r="A14" s="166" t="s">
        <v>258</v>
      </c>
      <c r="B14" s="170"/>
      <c r="C14" s="174">
        <v>0.45</v>
      </c>
      <c r="D14" s="174">
        <v>0.38</v>
      </c>
      <c r="E14" s="174">
        <v>0.37</v>
      </c>
      <c r="F14" s="174">
        <v>0.37</v>
      </c>
      <c r="G14" s="175" t="str">
        <f>G13</f>
        <v/>
      </c>
      <c r="H14" s="175"/>
      <c r="I14" s="175"/>
      <c r="J14" s="175"/>
      <c r="K14" s="175"/>
      <c r="L14" s="175"/>
      <c r="M14" s="116"/>
    </row>
    <row r="15" ht="15.75" customHeight="1">
      <c r="A15" s="176" t="s">
        <v>259</v>
      </c>
      <c r="B15" s="177"/>
      <c r="C15" s="178">
        <f>IF('Bear Model'!ModelYear&gt;'Bear Model'!EXP_CAP,"",C13*B24+(C14-B19)/C14)</f>
        <v>0.05430729051</v>
      </c>
      <c r="D15" s="178">
        <f>IF('Bear Model'!ModelYear&gt;'Bear Model'!EXP_CAP,"",D13*C24+(D14-C19)/D14)</f>
        <v>0.1293718433</v>
      </c>
      <c r="E15" s="178">
        <f>IF('Bear Model'!ModelYear&gt;'Bear Model'!EXP_CAP,"",E13*D24+(E14-D19)/E14)</f>
        <v>0.04433568066</v>
      </c>
      <c r="F15" s="178">
        <f>IF('Bear Model'!ModelYear&gt;'Bear Model'!EXP_CAP,"",F13*E24+(F14-E19)/F14)</f>
        <v>0.04236141989</v>
      </c>
      <c r="G15" s="178" t="str">
        <f>IF('Bear Model'!ModelYear&gt;'Bear Model'!EXP_CAP,"",G13*F24+(G14-F19)/G14)</f>
        <v/>
      </c>
      <c r="H15" s="178" t="str">
        <f>IF('Bear Model'!ModelYear&gt;'Bear Model'!EXP_CAP,"",H13*G24+(H14-G19)/H14)</f>
        <v/>
      </c>
      <c r="I15" s="178" t="str">
        <f>IF('Bear Model'!ModelYear&gt;'Bear Model'!EXP_CAP,"",I13*H24+(I14-H19)/I14)</f>
        <v/>
      </c>
      <c r="J15" s="178" t="str">
        <f>IF('Bear Model'!ModelYear&gt;'Bear Model'!EXP_CAP,"",J13*I24+(J14-I19)/J14)</f>
        <v/>
      </c>
      <c r="K15" s="178" t="str">
        <f>IF('Bear Model'!ModelYear&gt;'Bear Model'!EXP_CAP,"",K13*J24+(K14-J19)/K14)</f>
        <v/>
      </c>
      <c r="L15" s="178" t="str">
        <f>IF('Bear Model'!ModelYear&gt;'Bear Model'!EXP_CAP,"",L13*K24+(L14-K19)/L14)</f>
        <v/>
      </c>
      <c r="M15" s="178">
        <f>'Bear Model'!Terminal_EbitGrowth</f>
        <v>0.03</v>
      </c>
    </row>
    <row r="16" ht="15.75" customHeight="1">
      <c r="A16" s="64" t="s">
        <v>260</v>
      </c>
      <c r="B16" s="169">
        <f>IF(Data!D95="No",Data!C112,Data!D112)</f>
        <v>7025.696</v>
      </c>
      <c r="C16" s="169">
        <f>IF('Bear Model'!ModelYear&gt;'Bear Model'!EXP_CAP,"",B16*(1+'Bear Model'!Model_EbitGrowth))</f>
        <v>7407.242514</v>
      </c>
      <c r="D16" s="169">
        <f>IF('Bear Model'!ModelYear&gt;'Bear Model'!EXP_CAP,"",C16*(1+'Bear Model'!Model_EbitGrowth))</f>
        <v>8365.531132</v>
      </c>
      <c r="E16" s="169">
        <f>IF('Bear Model'!ModelYear&gt;'Bear Model'!EXP_CAP,"",D16*(1+'Bear Model'!Model_EbitGrowth))</f>
        <v>8736.422648</v>
      </c>
      <c r="F16" s="169">
        <f>IF('Bear Model'!ModelYear&gt;'Bear Model'!EXP_CAP,"",E16*(1+'Bear Model'!Model_EbitGrowth))</f>
        <v>9106.509917</v>
      </c>
      <c r="G16" s="169" t="str">
        <f>IF('Bear Model'!ModelYear&gt;'Bear Model'!EXP_CAP,"",F16*(1+'Bear Model'!Model_EbitGrowth))</f>
        <v/>
      </c>
      <c r="H16" s="169" t="str">
        <f>IF('Bear Model'!ModelYear&gt;'Bear Model'!EXP_CAP,"",G16*(1+'Bear Model'!Model_EbitGrowth))</f>
        <v/>
      </c>
      <c r="I16" s="169" t="str">
        <f>IF('Bear Model'!ModelYear&gt;'Bear Model'!EXP_CAP,"",H16*(1+'Bear Model'!Model_EbitGrowth))</f>
        <v/>
      </c>
      <c r="J16" s="169" t="str">
        <f>IF('Bear Model'!ModelYear&gt;'Bear Model'!EXP_CAP,"",I16*(1+'Bear Model'!Model_EbitGrowth))</f>
        <v/>
      </c>
      <c r="K16" s="169" t="str">
        <f>IF('Bear Model'!ModelYear&gt;'Bear Model'!EXP_CAP,"",J16*(1+'Bear Model'!Model_EbitGrowth))</f>
        <v/>
      </c>
      <c r="L16" s="169" t="str">
        <f>IF('Bear Model'!ModelYear&gt;'Bear Model'!EXP_CAP,"",K16*(1+'Bear Model'!Model_EbitGrowth))</f>
        <v/>
      </c>
      <c r="M16" s="169">
        <f>INDIRECT(ADDRESS(ROW(A16),'Bear Model'!EXP_CAP+2))*(1+'Bear Model'!Terminal_EbitGrowth)</f>
        <v>9379.705214</v>
      </c>
    </row>
    <row r="17" ht="15.75" customHeight="1">
      <c r="A17" s="166" t="s">
        <v>261</v>
      </c>
      <c r="B17" s="168">
        <f>Data!F58</f>
        <v>0.146951567</v>
      </c>
      <c r="C17" s="171">
        <v>0.25</v>
      </c>
      <c r="D17" s="171">
        <v>0.25</v>
      </c>
      <c r="E17" s="171">
        <v>0.25</v>
      </c>
      <c r="F17" s="171">
        <v>0.25</v>
      </c>
      <c r="G17" s="172"/>
      <c r="H17" s="172"/>
      <c r="I17" s="172"/>
      <c r="J17" s="172"/>
      <c r="K17" s="172"/>
      <c r="L17" s="172"/>
      <c r="M17" s="168">
        <f>Data!D57</f>
        <v>0.25</v>
      </c>
    </row>
    <row r="18" ht="15.75" customHeight="1">
      <c r="A18" s="179" t="s">
        <v>147</v>
      </c>
      <c r="B18" s="180">
        <f>IF(Data!D95="No",Data!C114,Data!D114)</f>
        <v>6007.905038</v>
      </c>
      <c r="C18" s="180">
        <f>IF('Bear Model'!ModelYear&gt;'Bear Model'!EXP_CAP,"",C16*(1-C17))</f>
        <v>5555.431885</v>
      </c>
      <c r="D18" s="180">
        <f>IF('Bear Model'!ModelYear&gt;'Bear Model'!EXP_CAP,"",D16*(1-D17))</f>
        <v>6274.148349</v>
      </c>
      <c r="E18" s="180">
        <f>IF('Bear Model'!ModelYear&gt;'Bear Model'!EXP_CAP,"",E16*(1-E17))</f>
        <v>6552.316986</v>
      </c>
      <c r="F18" s="180">
        <f>IF('Bear Model'!ModelYear&gt;'Bear Model'!EXP_CAP,"",F16*(1-F17))</f>
        <v>6829.882437</v>
      </c>
      <c r="G18" s="180" t="str">
        <f>IF('Bear Model'!ModelYear&gt;'Bear Model'!EXP_CAP,"",G16*(1-G17))</f>
        <v/>
      </c>
      <c r="H18" s="180" t="str">
        <f>IF('Bear Model'!ModelYear&gt;'Bear Model'!EXP_CAP,"",H16*(1-H17))</f>
        <v/>
      </c>
      <c r="I18" s="180" t="str">
        <f>IF('Bear Model'!ModelYear&gt;'Bear Model'!EXP_CAP,"",I16*(1-I17))</f>
        <v/>
      </c>
      <c r="J18" s="180" t="str">
        <f>IF('Bear Model'!ModelYear&gt;'Bear Model'!EXP_CAP,"",J16*(1-J17))</f>
        <v/>
      </c>
      <c r="K18" s="180" t="str">
        <f>IF('Bear Model'!ModelYear&gt;'Bear Model'!EXP_CAP,"",K16*(1-K17))</f>
        <v/>
      </c>
      <c r="L18" s="180" t="str">
        <f>IF('Bear Model'!ModelYear&gt;'Bear Model'!EXP_CAP,"",L16*(1-L17))</f>
        <v/>
      </c>
      <c r="M18" s="180">
        <f>M16*(1-M17)</f>
        <v>7034.778911</v>
      </c>
    </row>
    <row r="19" ht="15.75" customHeight="1">
      <c r="A19" s="170" t="s">
        <v>174</v>
      </c>
      <c r="B19" s="168">
        <f>B18/B9</f>
        <v>0.601021777</v>
      </c>
      <c r="C19" s="168">
        <f>IF('Bear Model'!ModelYear&gt;'Bear Model'!EXP_CAP,"",C18/C9)</f>
        <v>0.3654452306</v>
      </c>
      <c r="D19" s="168">
        <f>IF('Bear Model'!ModelYear&gt;'Bear Model'!EXP_CAP,"",D18/D9)</f>
        <v>0.3794874158</v>
      </c>
      <c r="E19" s="168">
        <f>IF('Bear Model'!ModelYear&gt;'Bear Model'!EXP_CAP,"",E18/E9)</f>
        <v>0.3697730178</v>
      </c>
      <c r="F19" s="168">
        <f>IF('Bear Model'!ModelYear&gt;'Bear Model'!EXP_CAP,"",F18/F9)</f>
        <v>0.3699998663</v>
      </c>
      <c r="G19" s="168" t="str">
        <f>IF('Bear Model'!ModelYear&gt;'Bear Model'!EXP_CAP,"",G18/G9)</f>
        <v/>
      </c>
      <c r="H19" s="168" t="str">
        <f>IF('Bear Model'!ModelYear&gt;'Bear Model'!EXP_CAP,"",H18/H9)</f>
        <v/>
      </c>
      <c r="I19" s="168" t="str">
        <f>IF('Bear Model'!ModelYear&gt;'Bear Model'!EXP_CAP,"",I18/I9)</f>
        <v/>
      </c>
      <c r="J19" s="168" t="str">
        <f>IF('Bear Model'!ModelYear&gt;'Bear Model'!EXP_CAP,"",J18/J9)</f>
        <v/>
      </c>
      <c r="K19" s="168" t="str">
        <f>IF('Bear Model'!ModelYear&gt;'Bear Model'!EXP_CAP,"",K18/K9)</f>
        <v/>
      </c>
      <c r="L19" s="168" t="str">
        <f>IF('Bear Model'!ModelYear&gt;'Bear Model'!EXP_CAP,"",L18/L9)</f>
        <v/>
      </c>
      <c r="M19" s="168">
        <f>Dashboard!G37</f>
        <v>0.0975</v>
      </c>
    </row>
    <row r="20" ht="15.75" customHeight="1">
      <c r="A20" s="74" t="s">
        <v>241</v>
      </c>
      <c r="B20" s="181">
        <f>IF(Data!D95="No",Data!C121,Data!D121)</f>
        <v>674.006</v>
      </c>
      <c r="C20" s="182">
        <f t="shared" ref="C20:E20" si="2">B20*0.9</f>
        <v>606.6054</v>
      </c>
      <c r="D20" s="182">
        <f t="shared" si="2"/>
        <v>545.94486</v>
      </c>
      <c r="E20" s="182">
        <f t="shared" si="2"/>
        <v>491.350374</v>
      </c>
      <c r="F20" s="183"/>
      <c r="G20" s="183"/>
      <c r="H20" s="183"/>
      <c r="I20" s="183"/>
      <c r="J20" s="183"/>
      <c r="K20" s="183"/>
      <c r="L20" s="184" t="str">
        <f>IF('Bear Model'!ModelYear&gt;='Bear Model'!EXP_CAP,"",L11*#REF!)</f>
        <v/>
      </c>
      <c r="M20" s="184"/>
    </row>
    <row r="21" ht="15.75" customHeight="1">
      <c r="A21" s="166" t="s">
        <v>167</v>
      </c>
      <c r="B21" s="185">
        <f>Data!C32</f>
        <v>4227.38</v>
      </c>
      <c r="C21" s="186">
        <f>IF('Bear Model'!ModelYear&gt;='Bear Model'!EXP_CAP,"",C11*$B$4)</f>
        <v>4952.17506</v>
      </c>
      <c r="D21" s="186">
        <f>IF('Bear Model'!ModelYear&gt;='Bear Model'!EXP_CAP,"",D11*$B$4)</f>
        <v>5592.847076</v>
      </c>
      <c r="E21" s="186">
        <f>IF('Bear Model'!ModelYear&gt;='Bear Model'!EXP_CAP,"",E11*$B$4)</f>
        <v>5840.809758</v>
      </c>
      <c r="F21" s="186" t="str">
        <f>IF('Bear Model'!ModelYear&gt;='Bear Model'!EXP_CAP,"",F11*$B$4)</f>
        <v/>
      </c>
      <c r="G21" s="186" t="str">
        <f>IF('Bear Model'!ModelYear&gt;='Bear Model'!EXP_CAP,"",G11*$B$4)</f>
        <v/>
      </c>
      <c r="H21" s="186" t="str">
        <f>IF('Bear Model'!ModelYear&gt;='Bear Model'!EXP_CAP,"",H11*$B$4)</f>
        <v/>
      </c>
      <c r="I21" s="186" t="str">
        <f>IF('Bear Model'!ModelYear&gt;='Bear Model'!EXP_CAP,"",I11*$B$4)</f>
        <v/>
      </c>
      <c r="J21" s="186" t="str">
        <f>IF('Bear Model'!ModelYear&gt;='Bear Model'!EXP_CAP,"",J11*$B$4)</f>
        <v/>
      </c>
      <c r="K21" s="186" t="str">
        <f>IF('Bear Model'!ModelYear&gt;='Bear Model'!EXP_CAP,"",K11*$B$4)</f>
        <v/>
      </c>
      <c r="L21" s="187" t="str">
        <f>IF('Bear Model'!ModelYear&gt;='Bear Model'!EXP_CAP,"",L11*$B$4)</f>
        <v/>
      </c>
      <c r="M21" s="188"/>
    </row>
    <row r="22" ht="15.75" customHeight="1">
      <c r="A22" s="189" t="s">
        <v>168</v>
      </c>
      <c r="B22" s="190">
        <f>Data!C33</f>
        <v>4531.66</v>
      </c>
      <c r="C22" s="191">
        <f>IF('Bear Model'!ModelYear&gt;='Bear Model'!EXP_CAP,"",C21-B21)</f>
        <v>724.7950597</v>
      </c>
      <c r="D22" s="191">
        <f>IF('Bear Model'!ModelYear&gt;='Bear Model'!EXP_CAP,"",D21-C21)</f>
        <v>640.672016</v>
      </c>
      <c r="E22" s="191">
        <f>IF('Bear Model'!ModelYear&gt;='Bear Model'!EXP_CAP,"",E21-D21)</f>
        <v>247.9626819</v>
      </c>
      <c r="F22" s="191" t="str">
        <f>IF('Bear Model'!ModelYear&gt;='Bear Model'!EXP_CAP,"",F21-E21)</f>
        <v/>
      </c>
      <c r="G22" s="191" t="str">
        <f>IF('Bear Model'!ModelYear&gt;='Bear Model'!EXP_CAP,"",G21-F21)</f>
        <v/>
      </c>
      <c r="H22" s="191" t="str">
        <f>IF('Bear Model'!ModelYear&gt;='Bear Model'!EXP_CAP,"",H21-G21)</f>
        <v/>
      </c>
      <c r="I22" s="191" t="str">
        <f>IF('Bear Model'!ModelYear&gt;='Bear Model'!EXP_CAP,"",I21-H21)</f>
        <v/>
      </c>
      <c r="J22" s="191" t="str">
        <f>IF('Bear Model'!ModelYear&gt;='Bear Model'!EXP_CAP,"",J21-I21)</f>
        <v/>
      </c>
      <c r="K22" s="191" t="str">
        <f>IF('Bear Model'!ModelYear&gt;='Bear Model'!EXP_CAP,"",K21-J21)</f>
        <v/>
      </c>
      <c r="L22" s="192" t="str">
        <f>IF('Bear Model'!ModelYear&gt;='Bear Model'!EXP_CAP,"",L21-K21)</f>
        <v/>
      </c>
      <c r="M22" s="192"/>
    </row>
    <row r="23" ht="15.75" customHeight="1">
      <c r="A23" s="193" t="s">
        <v>170</v>
      </c>
      <c r="B23" s="181">
        <f>B20+B22</f>
        <v>5205.666</v>
      </c>
      <c r="C23" s="169">
        <f t="shared" ref="C23:K23" si="3">IF(C22="","",C20+C22)</f>
        <v>1331.40046</v>
      </c>
      <c r="D23" s="169">
        <f t="shared" si="3"/>
        <v>1186.616876</v>
      </c>
      <c r="E23" s="169">
        <f t="shared" si="3"/>
        <v>739.3130559</v>
      </c>
      <c r="F23" s="169" t="str">
        <f t="shared" si="3"/>
        <v/>
      </c>
      <c r="G23" s="169" t="str">
        <f t="shared" si="3"/>
        <v/>
      </c>
      <c r="H23" s="169" t="str">
        <f t="shared" si="3"/>
        <v/>
      </c>
      <c r="I23" s="169" t="str">
        <f t="shared" si="3"/>
        <v/>
      </c>
      <c r="J23" s="169" t="str">
        <f t="shared" si="3"/>
        <v/>
      </c>
      <c r="K23" s="169" t="str">
        <f t="shared" si="3"/>
        <v/>
      </c>
      <c r="L23" s="184"/>
      <c r="M23" s="184"/>
    </row>
    <row r="24" ht="15.75" customHeight="1">
      <c r="A24" s="194" t="s">
        <v>262</v>
      </c>
      <c r="B24" s="168">
        <f>B23/B18</f>
        <v>0.866469421</v>
      </c>
      <c r="C24" s="195">
        <f>IF('Bear Model'!ModelYear&gt;'Bear Model'!EXP_CAP,"",IF(C22="",$M$15/C19,C23/C18))</f>
        <v>0.2396574177</v>
      </c>
      <c r="D24" s="195">
        <f>IF('Bear Model'!ModelYear&gt;'Bear Model'!EXP_CAP,"",IF(D22="",$M$15/D19,D23/D18))</f>
        <v>0.1891279597</v>
      </c>
      <c r="E24" s="195">
        <f>IF('Bear Model'!ModelYear&gt;'Bear Model'!EXP_CAP,"",IF(E22="",$M$15/E19,E23/E18))</f>
        <v>0.1128323092</v>
      </c>
      <c r="F24" s="195">
        <f>IF('Bear Model'!ModelYear&gt;'Bear Model'!EXP_CAP,"",IF(F22="",$M$15/F19,F23/F18))</f>
        <v>0.08108111037</v>
      </c>
      <c r="G24" s="195" t="str">
        <f>IF('Bear Model'!ModelYear&gt;'Bear Model'!EXP_CAP,"",IF(G22="",$M$15/G19,G23/G18))</f>
        <v/>
      </c>
      <c r="H24" s="195" t="str">
        <f>IF('Bear Model'!ModelYear&gt;'Bear Model'!EXP_CAP,"",IF(H22="",$M$15/H19,H23/H18))</f>
        <v/>
      </c>
      <c r="I24" s="195" t="str">
        <f>IF('Bear Model'!ModelYear&gt;'Bear Model'!EXP_CAP,"",IF(I22="",$M$15/I19,I23/I18))</f>
        <v/>
      </c>
      <c r="J24" s="195" t="str">
        <f>IF('Bear Model'!ModelYear&gt;'Bear Model'!EXP_CAP,"",IF(J22="",$M$15/J19,J23/J18))</f>
        <v/>
      </c>
      <c r="K24" s="195" t="str">
        <f>IF('Bear Model'!ModelYear&gt;'Bear Model'!EXP_CAP,"",IF(K22="",$M$15/K19,K23/K18))</f>
        <v/>
      </c>
      <c r="L24" s="116"/>
      <c r="M24" s="196">
        <f>M15/M19</f>
        <v>0.3076923077</v>
      </c>
    </row>
    <row r="25" ht="15.75" customHeight="1">
      <c r="A25" s="197" t="s">
        <v>263</v>
      </c>
      <c r="B25" s="198">
        <f>B18-(B20+B22)</f>
        <v>802.2390384</v>
      </c>
      <c r="C25" s="199">
        <f>IF('Bear Model'!ModelYear&gt;'Bear Model'!EXP_CAP,"",IF('Bear Model'!ModelYear='Bear Model'!EXP_CAP,'Bear Model'!Model_NOPAT*(1-C24),'Bear Model'!Model_NOPAT-C23))</f>
        <v>4224.031426</v>
      </c>
      <c r="D25" s="199">
        <f>IF('Bear Model'!ModelYear&gt;'Bear Model'!EXP_CAP,"",IF('Bear Model'!ModelYear='Bear Model'!EXP_CAP,'Bear Model'!Model_NOPAT*(1-D24),'Bear Model'!Model_NOPAT-D23))</f>
        <v>5087.531473</v>
      </c>
      <c r="E25" s="199">
        <f>IF('Bear Model'!ModelYear&gt;'Bear Model'!EXP_CAP,"",IF('Bear Model'!ModelYear='Bear Model'!EXP_CAP,'Bear Model'!Model_NOPAT*(1-E24),'Bear Model'!Model_NOPAT-E23))</f>
        <v>5813.00393</v>
      </c>
      <c r="F25" s="199">
        <f>IF('Bear Model'!ModelYear&gt;'Bear Model'!EXP_CAP,"",IF('Bear Model'!ModelYear='Bear Model'!EXP_CAP,'Bear Model'!Model_NOPAT*(1-F24),'Bear Model'!Model_NOPAT-F23))</f>
        <v>6276.107986</v>
      </c>
      <c r="G25" s="199" t="str">
        <f>IF('Bear Model'!ModelYear&gt;'Bear Model'!EXP_CAP,"",IF('Bear Model'!ModelYear='Bear Model'!EXP_CAP,'Bear Model'!Model_NOPAT*(1-G24),'Bear Model'!Model_NOPAT-G23))</f>
        <v/>
      </c>
      <c r="H25" s="199" t="str">
        <f>IF('Bear Model'!ModelYear&gt;'Bear Model'!EXP_CAP,"",IF('Bear Model'!ModelYear='Bear Model'!EXP_CAP,'Bear Model'!Model_NOPAT*(1-H24),'Bear Model'!Model_NOPAT-H23))</f>
        <v/>
      </c>
      <c r="I25" s="199" t="str">
        <f>IF('Bear Model'!ModelYear&gt;'Bear Model'!EXP_CAP,"",IF('Bear Model'!ModelYear='Bear Model'!EXP_CAP,'Bear Model'!Model_NOPAT*(1-I24),'Bear Model'!Model_NOPAT-I23))</f>
        <v/>
      </c>
      <c r="J25" s="199" t="str">
        <f>IF('Bear Model'!ModelYear&gt;'Bear Model'!EXP_CAP,"",IF('Bear Model'!ModelYear='Bear Model'!EXP_CAP,'Bear Model'!Model_NOPAT*(1-J24),'Bear Model'!Model_NOPAT-J23))</f>
        <v/>
      </c>
      <c r="K25" s="199" t="str">
        <f>IF('Bear Model'!ModelYear&gt;'Bear Model'!EXP_CAP,"",IF('Bear Model'!ModelYear='Bear Model'!EXP_CAP,'Bear Model'!Model_NOPAT*(1-K24),'Bear Model'!Model_NOPAT-K23))</f>
        <v/>
      </c>
      <c r="L25" s="199" t="str">
        <f>IF('Bear Model'!ModelYear&gt;'Bear Model'!EXP_CAP,"",IF('Bear Model'!ModelYear='Bear Model'!EXP_CAP,'Bear Model'!Model_NOPAT*(1-L24),'Bear Model'!Model_NOPAT-L23))</f>
        <v/>
      </c>
      <c r="M25" s="200">
        <f>M18*(1-M24)</f>
        <v>4870.231553</v>
      </c>
    </row>
    <row r="26" ht="15.75" customHeight="1">
      <c r="A26" s="166" t="s">
        <v>264</v>
      </c>
      <c r="B26" s="55"/>
      <c r="C26" s="168">
        <f>discount_rate('Bear Model'!EXP_Wacc,'Bear Model'!Terminal_Wacc,C8,'Bear Model'!EXP_CAP,$J5)</f>
        <v>0.075</v>
      </c>
      <c r="D26" s="168">
        <f>discount_rate('Bear Model'!EXP_Wacc,'Bear Model'!Terminal_Wacc,D8,'Bear Model'!EXP_CAP,$J5)</f>
        <v>0.075</v>
      </c>
      <c r="E26" s="168">
        <f>discount_rate('Bear Model'!EXP_Wacc,'Bear Model'!Terminal_Wacc,E8,'Bear Model'!EXP_CAP,$J5)</f>
        <v>0.08625</v>
      </c>
      <c r="F26" s="168">
        <f>discount_rate('Bear Model'!EXP_Wacc,'Bear Model'!Terminal_Wacc,F8,'Bear Model'!EXP_CAP,$J5)</f>
        <v>0.0975</v>
      </c>
      <c r="G26" s="168" t="str">
        <f>discount_rate('Bear Model'!EXP_Wacc,'Bear Model'!Terminal_Wacc,G8,'Bear Model'!EXP_CAP,$J5)</f>
        <v/>
      </c>
      <c r="H26" s="168" t="str">
        <f>discount_rate('Bear Model'!EXP_Wacc,'Bear Model'!Terminal_Wacc,H8,'Bear Model'!EXP_CAP,$J5)</f>
        <v/>
      </c>
      <c r="I26" s="168" t="str">
        <f>discount_rate('Bear Model'!EXP_Wacc,'Bear Model'!Terminal_Wacc,I8,'Bear Model'!EXP_CAP,$J5)</f>
        <v/>
      </c>
      <c r="J26" s="168" t="str">
        <f>discount_rate('Bear Model'!EXP_Wacc,'Bear Model'!Terminal_Wacc,J8,'Bear Model'!EXP_CAP,$J5)</f>
        <v/>
      </c>
      <c r="K26" s="168" t="str">
        <f>discount_rate('Bear Model'!EXP_Wacc,'Bear Model'!Terminal_Wacc,K8,'Bear Model'!EXP_CAP,$J5)</f>
        <v/>
      </c>
      <c r="L26" s="168" t="str">
        <f>discount_rate('Bear Model'!EXP_Wacc,'Bear Model'!Terminal_Wacc,L8,'Bear Model'!EXP_CAP,$J5)</f>
        <v/>
      </c>
      <c r="M26" s="168">
        <f>'Bear Model'!Terminal_Wacc</f>
        <v>0.0975</v>
      </c>
    </row>
    <row r="27" ht="15.75" customHeight="1">
      <c r="A27" s="201" t="s">
        <v>265</v>
      </c>
      <c r="B27" s="202"/>
      <c r="C27" s="196">
        <f>IF('Bear Model'!ModelYear&gt;'Bear Model'!EXP_CAP,"",1+C26)</f>
        <v>1.075</v>
      </c>
      <c r="D27" s="196">
        <f>IF('Bear Model'!ModelYear&gt;'Bear Model'!EXP_CAP,"",(1+C26)*(1+D26))</f>
        <v>1.155625</v>
      </c>
      <c r="E27" s="196">
        <f>IF('Bear Model'!ModelYear&gt;'Bear Model'!EXP_CAP,"",(1+C26)*(1+D26)*(1+E26))</f>
        <v>1.255297656</v>
      </c>
      <c r="F27" s="196">
        <f>IF('Bear Model'!ModelYear&gt;'Bear Model'!EXP_CAP,"",(1+C26)*(1+D26)*(1+E26)*(1+F26))</f>
        <v>1.377689178</v>
      </c>
      <c r="G27" s="196" t="str">
        <f>IF('Bear Model'!ModelYear&gt;'Bear Model'!EXP_CAP,"",(1+C26)*(1+D26)*(1+E26)*(1+F26)*(1+G26))</f>
        <v/>
      </c>
      <c r="H27" s="196" t="str">
        <f>IF('Bear Model'!ModelYear&gt;'Bear Model'!EXP_CAP,"",(1+C26)*(1+D26)*(1+E26)*(1+F26)*(1+G26)*(1+H26))</f>
        <v/>
      </c>
      <c r="I27" s="196" t="str">
        <f>IF('Bear Model'!ModelYear&gt;'Bear Model'!EXP_CAP,"",(1+C26)*(1+D26)*(1+E26)*(1+F26)*(1+G26)*(1+H26)*(1+I26))</f>
        <v/>
      </c>
      <c r="J27" s="196" t="str">
        <f>IF('Bear Model'!ModelYear&gt;'Bear Model'!EXP_CAP,"",(1+C26)*(1+D26)*(1+E26)*(1+F26)*(1+G26)*(1+H26)*(1+I26)*(1+J26))</f>
        <v/>
      </c>
      <c r="K27" s="196" t="str">
        <f>IF('Bear Model'!ModelYear&gt;'Bear Model'!EXP_CAP,"",(1+C26)*(1+D26)*(1+E26)*(1+F26)*(1+G26)*(1+H26)*(1+I26)*(1+J26)*(1+K26))</f>
        <v/>
      </c>
      <c r="L27" s="196" t="str">
        <f>IF('Bear Model'!ModelYear&gt;'Bear Model'!EXP_CAP,"",(1+C26)*(1+D26)*(1+E26)*(1+F26)*(1+G26)*(1+H26)*(1+I26)*(1+J26)*(1+K26)*(1+L26))</f>
        <v/>
      </c>
      <c r="M27" s="203"/>
    </row>
    <row r="28" ht="15.75" customHeight="1">
      <c r="A28" s="204" t="s">
        <v>266</v>
      </c>
      <c r="B28" s="205"/>
      <c r="C28" s="200">
        <f>IF('Bear Model'!ModelYear&gt;'Bear Model'!EXP_CAP,"",'Bear Model'!Model_FCFF/C27)</f>
        <v>3929.331559</v>
      </c>
      <c r="D28" s="200">
        <f>IF('Bear Model'!ModelYear&gt;'Bear Model'!EXP_CAP,"",'Bear Model'!Model_FCFF/D27)</f>
        <v>4402.406899</v>
      </c>
      <c r="E28" s="200">
        <f>IF('Bear Model'!ModelYear&gt;'Bear Model'!EXP_CAP,"",'Bear Model'!Model_FCFF/E27)</f>
        <v>4630.777331</v>
      </c>
      <c r="F28" s="200">
        <f>IF('Bear Model'!ModelYear&gt;'Bear Model'!EXP_CAP,"",'Bear Model'!Model_FCFF/F27)</f>
        <v>4555.532617</v>
      </c>
      <c r="G28" s="200" t="str">
        <f>IF('Bear Model'!ModelYear&gt;'Bear Model'!EXP_CAP,"",'Bear Model'!Model_FCFF/G27)</f>
        <v/>
      </c>
      <c r="H28" s="200" t="str">
        <f>IF('Bear Model'!ModelYear&gt;'Bear Model'!EXP_CAP,"",'Bear Model'!Model_FCFF/H27)</f>
        <v/>
      </c>
      <c r="I28" s="200" t="str">
        <f>IF('Bear Model'!ModelYear&gt;'Bear Model'!EXP_CAP,"",'Bear Model'!Model_FCFF/I27)</f>
        <v/>
      </c>
      <c r="J28" s="200" t="str">
        <f>IF('Bear Model'!ModelYear&gt;'Bear Model'!EXP_CAP,"",'Bear Model'!Model_FCFF/J27)</f>
        <v/>
      </c>
      <c r="K28" s="200" t="str">
        <f>IF('Bear Model'!ModelYear&gt;'Bear Model'!EXP_CAP,"",'Bear Model'!Model_FCFF/K27)</f>
        <v/>
      </c>
      <c r="L28" s="200" t="str">
        <f>IF('Bear Model'!ModelYear&gt;'Bear Model'!EXP_CAP,"",'Bear Model'!Model_FCFF/L27)</f>
        <v/>
      </c>
      <c r="M28" s="203"/>
    </row>
    <row r="29" ht="15.75" customHeight="1"/>
    <row r="30" ht="15.75" customHeight="1">
      <c r="A30" s="113" t="s">
        <v>267</v>
      </c>
      <c r="C30" s="64" t="s">
        <v>268</v>
      </c>
      <c r="D30" s="64" t="s">
        <v>269</v>
      </c>
    </row>
    <row r="31" ht="15.75" customHeight="1">
      <c r="A31" s="206" t="s">
        <v>270</v>
      </c>
      <c r="C31" s="168">
        <f>D31/D34</f>
        <v>0.2088209118</v>
      </c>
      <c r="D31" s="169">
        <f>SUM(C28:L28)</f>
        <v>17518.04841</v>
      </c>
    </row>
    <row r="32" ht="15.75" customHeight="1">
      <c r="A32" s="206" t="s">
        <v>271</v>
      </c>
      <c r="C32" s="168">
        <f>1-C31</f>
        <v>0.7911790882</v>
      </c>
      <c r="D32" s="169">
        <f>M25/('Bear Model'!Terminal_Wacc-'Bear Model'!Terminal_EbitGrowth)/IF('Bear Model'!EXP_CAP=0,1,INDIRECT(ADDRESS(ROW(A27),'Bear Model'!EXP_CAP+2)))</f>
        <v>52371.44904</v>
      </c>
    </row>
    <row r="33" ht="15.75" customHeight="1">
      <c r="A33" s="206" t="s">
        <v>272</v>
      </c>
      <c r="D33" s="169">
        <f>if(Data!D81="Yes",Data!D83,Data!D84)+Data!C23</f>
        <v>14000.8</v>
      </c>
    </row>
    <row r="34" ht="15.75" customHeight="1">
      <c r="A34" s="64" t="s">
        <v>273</v>
      </c>
      <c r="D34" s="200">
        <f>D31+D32+D33</f>
        <v>83890.29745</v>
      </c>
      <c r="E34" s="207"/>
    </row>
    <row r="35" ht="15.75" customHeight="1"/>
    <row r="36" ht="15.75" customHeight="1">
      <c r="A36" s="64" t="s">
        <v>274</v>
      </c>
      <c r="D36" s="169">
        <f>Data!D77</f>
        <v>180.07</v>
      </c>
    </row>
    <row r="37" ht="15.75" customHeight="1">
      <c r="A37" s="64" t="s">
        <v>275</v>
      </c>
      <c r="D37" s="208">
        <f>D34-D36</f>
        <v>83710.22745</v>
      </c>
      <c r="E37" s="37"/>
    </row>
    <row r="38" ht="15.75" customHeight="1">
      <c r="A38" s="64" t="s">
        <v>276</v>
      </c>
      <c r="D38" s="169">
        <f>Data!F87</f>
        <v>98.33</v>
      </c>
    </row>
    <row r="39" ht="15.75" customHeight="1">
      <c r="A39" s="64" t="s">
        <v>277</v>
      </c>
      <c r="D39" s="169">
        <f>Data!D78</f>
        <v>0</v>
      </c>
    </row>
    <row r="40" ht="15.75" customHeight="1">
      <c r="A40" s="64" t="s">
        <v>278</v>
      </c>
      <c r="D40" s="208">
        <f>D37-D38-D39</f>
        <v>83611.89745</v>
      </c>
      <c r="E40" s="37"/>
      <c r="F40" s="209" t="str">
        <f>Dashboard!C11</f>
        <v>CNY</v>
      </c>
    </row>
    <row r="41" ht="15.75" customHeight="1">
      <c r="A41" s="64" t="s">
        <v>279</v>
      </c>
      <c r="E41" s="210">
        <f>price_pershare(D40,Data!F3,Cs_Shares,Dashboard!C12)</f>
        <v>18.04378432</v>
      </c>
      <c r="F41" s="211" t="str">
        <f>Dashboard!D6</f>
        <v>CNY</v>
      </c>
    </row>
    <row r="42" ht="15.75" customHeight="1"/>
    <row r="43" ht="15.75" customHeight="1">
      <c r="A43" s="113" t="s">
        <v>280</v>
      </c>
      <c r="B43" s="64" t="s">
        <v>281</v>
      </c>
      <c r="D43" s="161" t="str">
        <f>F41</f>
        <v>CNY</v>
      </c>
      <c r="E43" s="161">
        <f>Dashboard!C6</f>
        <v>72.7</v>
      </c>
      <c r="F43" s="64" t="s">
        <v>282</v>
      </c>
      <c r="G43" s="212">
        <f>E43/E41-1</f>
        <v>3.029088283</v>
      </c>
      <c r="H43" s="64" t="str">
        <f>IF(G43&lt;0,"undervalued","overvalued") &amp; " by the market."</f>
        <v>overvalued by the market.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D38:E38"/>
    <mergeCell ref="D39:E39"/>
    <mergeCell ref="D40:E40"/>
    <mergeCell ref="A1:C1"/>
    <mergeCell ref="D31:E31"/>
    <mergeCell ref="D32:E32"/>
    <mergeCell ref="D33:E33"/>
    <mergeCell ref="D34:E34"/>
    <mergeCell ref="D36:E36"/>
    <mergeCell ref="D37:E37"/>
  </mergeCells>
  <dataValidations>
    <dataValidation type="list" allowBlank="1" sqref="B2">
      <formula1>"Base Case,Bear Case,Bull Case"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6" width="12.63"/>
  </cols>
  <sheetData>
    <row r="1" ht="15.75" customHeight="1">
      <c r="A1" s="111" t="s">
        <v>242</v>
      </c>
    </row>
    <row r="2" ht="15.75" customHeight="1">
      <c r="A2" s="113" t="s">
        <v>243</v>
      </c>
      <c r="B2" s="213" t="s">
        <v>38</v>
      </c>
    </row>
    <row r="3" ht="15.75" customHeight="1">
      <c r="A3" s="160" t="s">
        <v>244</v>
      </c>
      <c r="D3" s="160" t="s">
        <v>245</v>
      </c>
      <c r="H3" s="160" t="s">
        <v>246</v>
      </c>
    </row>
    <row r="4" ht="15.75" customHeight="1">
      <c r="A4" s="64" t="s">
        <v>247</v>
      </c>
      <c r="B4" s="99">
        <f>IF(Data!D70="No Adjustment",Data!D72,if(Data!D70="Direct Input",Data!D74,Data!D73))</f>
        <v>0.1690679462</v>
      </c>
      <c r="D4" s="64" t="s">
        <v>25</v>
      </c>
      <c r="F4" s="99">
        <f>Dashboard!G36</f>
        <v>0.03</v>
      </c>
      <c r="H4" s="64" t="s">
        <v>24</v>
      </c>
      <c r="J4" s="161">
        <f>IF(B2="Base Case",Dashboard!E34,IF(B2="Bear Case",Dashboard!D34,Dashboard!F34))</f>
        <v>6</v>
      </c>
    </row>
    <row r="5" ht="15.75" customHeight="1">
      <c r="A5" s="64" t="s">
        <v>248</v>
      </c>
      <c r="B5" s="162">
        <f>Dashboard!G11</f>
        <v>0.075</v>
      </c>
      <c r="D5" s="64" t="s">
        <v>248</v>
      </c>
      <c r="F5" s="162">
        <f>Dashboard!G12</f>
        <v>0.0975</v>
      </c>
      <c r="H5" s="74" t="s">
        <v>249</v>
      </c>
      <c r="J5" s="163">
        <f>_xlfn.FLOOR.MATH((J4/2))</f>
        <v>3</v>
      </c>
    </row>
    <row r="6" ht="15.75" customHeight="1"/>
    <row r="7" ht="15.75" customHeight="1">
      <c r="A7" s="113" t="s">
        <v>250</v>
      </c>
      <c r="B7" s="64" t="s">
        <v>251</v>
      </c>
    </row>
    <row r="8" ht="15.75" customHeight="1">
      <c r="A8" s="164" t="str">
        <f>"(Numbers in "&amp;Data!F3&amp;Dashboard!C11&amp;")"</f>
        <v>(Numbers in 1000000CNY)</v>
      </c>
      <c r="B8" s="165" t="str">
        <f>Data!C6</f>
        <v>FY 2021</v>
      </c>
      <c r="C8" s="165">
        <v>1.0</v>
      </c>
      <c r="D8" s="165">
        <v>2.0</v>
      </c>
      <c r="E8" s="165">
        <v>3.0</v>
      </c>
      <c r="F8" s="165">
        <v>4.0</v>
      </c>
      <c r="G8" s="165">
        <v>5.0</v>
      </c>
      <c r="H8" s="165">
        <v>6.0</v>
      </c>
      <c r="I8" s="165">
        <v>7.0</v>
      </c>
      <c r="J8" s="165">
        <v>8.0</v>
      </c>
      <c r="K8" s="165">
        <v>9.0</v>
      </c>
      <c r="L8" s="165">
        <v>10.0</v>
      </c>
      <c r="M8" s="165" t="s">
        <v>252</v>
      </c>
    </row>
    <row r="9" ht="15.75" customHeight="1">
      <c r="A9" s="166" t="s">
        <v>253</v>
      </c>
      <c r="B9" s="167">
        <f>IF(Data!D95="No",Data!C116,Data!D116)</f>
        <v>9996.152</v>
      </c>
      <c r="C9" s="167">
        <f>IF('Base Model'!ModelYear&gt;'Base Model'!EXP_CAP,"",B9+B23)</f>
        <v>15201.818</v>
      </c>
      <c r="D9" s="167">
        <f>IF('Base Model'!ModelYear&gt;'Base Model'!EXP_CAP,"",C9+C23)</f>
        <v>12229.68998</v>
      </c>
      <c r="E9" s="167">
        <f>IF('Base Model'!ModelYear&gt;'Base Model'!EXP_CAP,"",D9+D23)</f>
        <v>12640.86426</v>
      </c>
      <c r="F9" s="167">
        <f>IF('Base Model'!ModelYear&gt;'Base Model'!EXP_CAP,"",E9+E23)</f>
        <v>13653.83558</v>
      </c>
      <c r="G9" s="167">
        <f>IF('Base Model'!ModelYear&gt;'Base Model'!EXP_CAP,"",F9+F23)</f>
        <v>15051.96505</v>
      </c>
      <c r="H9" s="167">
        <f>IF('Base Model'!ModelYear&gt;'Base Model'!EXP_CAP,"",G9+G23)</f>
        <v>16729.16763</v>
      </c>
      <c r="I9" s="167" t="str">
        <f>IF('Base Model'!ModelYear&gt;'Base Model'!EXP_CAP,"",H9+H23)</f>
        <v/>
      </c>
      <c r="J9" s="167" t="str">
        <f>IF('Base Model'!ModelYear&gt;'Base Model'!EXP_CAP,"",I9+I23)</f>
        <v/>
      </c>
      <c r="K9" s="167" t="str">
        <f>IF('Base Model'!ModelYear&gt;'Base Model'!EXP_CAP,"",J9+J23)</f>
        <v/>
      </c>
      <c r="L9" s="167" t="str">
        <f>IF('Base Model'!ModelYear&gt;'Base Model'!EXP_CAP,"",K9+K23)</f>
        <v/>
      </c>
      <c r="M9" s="55"/>
    </row>
    <row r="10" ht="15.75" customHeight="1">
      <c r="A10" s="166" t="s">
        <v>254</v>
      </c>
      <c r="B10" s="55"/>
      <c r="C10" s="168">
        <f>IF('Base Model'!ModelYear&gt;'Base Model'!EXP_CAP,"",C11/B11-1)</f>
        <v>-0.8465606172</v>
      </c>
      <c r="D10" s="168">
        <f>IF('Base Model'!ModelYear&gt;'Base Model'!EXP_CAP,"",D11/C11-1)</f>
        <v>-0.2077719641</v>
      </c>
      <c r="E10" s="168">
        <f>IF('Base Model'!ModelYear&gt;'Base Model'!EXP_CAP,"",E11/D11-1)</f>
        <v>1.015071598</v>
      </c>
      <c r="F10" s="168">
        <f>IF('Base Model'!ModelYear&gt;'Base Model'!EXP_CAP,"",F11/E11-1)</f>
        <v>0.9231453014</v>
      </c>
      <c r="G10" s="168">
        <f>IF('Base Model'!ModelYear&gt;'Base Model'!EXP_CAP,"",G11/F11-1)</f>
        <v>0.6423629919</v>
      </c>
      <c r="H10" s="168">
        <f>IF('Base Model'!ModelYear&gt;'Base Model'!EXP_CAP,"",H11/G11-1)</f>
        <v>0.3184895358</v>
      </c>
      <c r="I10" s="168" t="str">
        <f>IF('Base Model'!ModelYear&gt;'Base Model'!EXP_CAP,"",I11/H11-1)</f>
        <v/>
      </c>
      <c r="J10" s="168" t="str">
        <f>IF('Base Model'!ModelYear&gt;'Base Model'!EXP_CAP,"",J11/I11-1)</f>
        <v/>
      </c>
      <c r="K10" s="168" t="str">
        <f>IF('Base Model'!ModelYear&gt;'Base Model'!EXP_CAP,"",K11/J11-1)</f>
        <v/>
      </c>
      <c r="L10" s="168" t="str">
        <f>IF('Base Model'!ModelYear&gt;'Base Model'!EXP_CAP,"",L11/K11-1)</f>
        <v/>
      </c>
      <c r="M10" s="168">
        <f>M11/INDIRECT(ADDRESS(ROW(A11),'Base Model'!EXP_CAP+2))-1</f>
        <v>0.03</v>
      </c>
    </row>
    <row r="11" ht="15.75" customHeight="1">
      <c r="A11" s="64" t="s">
        <v>255</v>
      </c>
      <c r="B11" s="169">
        <f>Data!C7</f>
        <v>25004.03</v>
      </c>
      <c r="C11" s="169">
        <f>IF('Base Model'!ModelYear&gt;'Base Model'!EXP_CAP,"",C16/C12)</f>
        <v>3836.602932</v>
      </c>
      <c r="D11" s="169">
        <f>IF('Base Model'!ModelYear&gt;'Base Model'!EXP_CAP,"",D16/D12)</f>
        <v>3039.464405</v>
      </c>
      <c r="E11" s="169">
        <f>IF('Base Model'!ModelYear&gt;'Base Model'!EXP_CAP,"",E16/E12)</f>
        <v>6124.738396</v>
      </c>
      <c r="F11" s="169">
        <f>IF('Base Model'!ModelYear&gt;'Base Model'!EXP_CAP,"",F16/F12)</f>
        <v>11778.76187</v>
      </c>
      <c r="G11" s="169">
        <f>IF('Base Model'!ModelYear&gt;'Base Model'!EXP_CAP,"",G16/G12)</f>
        <v>19345.00258</v>
      </c>
      <c r="H11" s="169">
        <f>IF('Base Model'!ModelYear&gt;'Base Model'!EXP_CAP,"",H16/H12)</f>
        <v>25506.18348</v>
      </c>
      <c r="I11" s="169" t="str">
        <f>IF('Base Model'!ModelYear&gt;'Base Model'!EXP_CAP,"",I16/I12)</f>
        <v/>
      </c>
      <c r="J11" s="169" t="str">
        <f>IF('Base Model'!ModelYear&gt;'Base Model'!EXP_CAP,"",J16/J12)</f>
        <v/>
      </c>
      <c r="K11" s="169" t="str">
        <f>IF('Base Model'!ModelYear&gt;'Base Model'!EXP_CAP,"",K16/K12)</f>
        <v/>
      </c>
      <c r="L11" s="169" t="str">
        <f>IF('Base Model'!ModelYear&gt;'Base Model'!EXP_CAP,"",L16/L12)</f>
        <v/>
      </c>
      <c r="M11" s="169">
        <f>M16/M12</f>
        <v>26271.36898</v>
      </c>
    </row>
    <row r="12" ht="15.75" customHeight="1">
      <c r="A12" s="170" t="s">
        <v>256</v>
      </c>
      <c r="B12" s="168">
        <f>B16/B11</f>
        <v>0.2809825456</v>
      </c>
      <c r="C12" s="171">
        <f>B12*0.9</f>
        <v>0.2528842911</v>
      </c>
      <c r="D12" s="171">
        <f t="shared" ref="D12:H12" si="1">C12</f>
        <v>0.2528842911</v>
      </c>
      <c r="E12" s="171">
        <f t="shared" si="1"/>
        <v>0.2528842911</v>
      </c>
      <c r="F12" s="171">
        <f t="shared" si="1"/>
        <v>0.2528842911</v>
      </c>
      <c r="G12" s="171">
        <f t="shared" si="1"/>
        <v>0.2528842911</v>
      </c>
      <c r="H12" s="171">
        <f t="shared" si="1"/>
        <v>0.2528842911</v>
      </c>
      <c r="I12" s="172"/>
      <c r="J12" s="172"/>
      <c r="K12" s="172"/>
      <c r="L12" s="172"/>
      <c r="M12" s="172">
        <f>D12</f>
        <v>0.2528842911</v>
      </c>
    </row>
    <row r="13" ht="15.75" customHeight="1">
      <c r="A13" s="166" t="s">
        <v>257</v>
      </c>
      <c r="B13" s="173"/>
      <c r="C13" s="174">
        <v>0.285</v>
      </c>
      <c r="D13" s="174">
        <v>0.285</v>
      </c>
      <c r="E13" s="174">
        <v>0.3</v>
      </c>
      <c r="F13" s="174">
        <v>0.31</v>
      </c>
      <c r="G13" s="174">
        <v>0.32</v>
      </c>
      <c r="H13" s="174">
        <v>0.31</v>
      </c>
      <c r="I13" s="175"/>
      <c r="J13" s="175"/>
      <c r="K13" s="175"/>
      <c r="L13" s="175"/>
      <c r="M13" s="116"/>
    </row>
    <row r="14" ht="15.75" customHeight="1">
      <c r="A14" s="166" t="s">
        <v>258</v>
      </c>
      <c r="B14" s="170"/>
      <c r="C14" s="174">
        <v>0.285</v>
      </c>
      <c r="D14" s="174">
        <v>0.285</v>
      </c>
      <c r="E14" s="174">
        <v>0.3</v>
      </c>
      <c r="F14" s="174">
        <v>0.31</v>
      </c>
      <c r="G14" s="174">
        <v>0.32</v>
      </c>
      <c r="H14" s="174">
        <v>0.31</v>
      </c>
      <c r="I14" s="175"/>
      <c r="J14" s="175"/>
      <c r="K14" s="175"/>
      <c r="L14" s="175"/>
      <c r="M14" s="116"/>
    </row>
    <row r="15" ht="15.75" customHeight="1">
      <c r="A15" s="176" t="s">
        <v>259</v>
      </c>
      <c r="B15" s="177"/>
      <c r="C15" s="178">
        <f>IF('Base Model'!ModelYear&gt;'Base Model'!EXP_CAP,"",C13*B24+(C14-B19)/C14)</f>
        <v>-0.8619045554</v>
      </c>
      <c r="D15" s="178">
        <f>IF('Base Model'!ModelYear&gt;'Base Model'!EXP_CAP,"",D13*C24+(D14-C19)/D14)</f>
        <v>-0.2077719641</v>
      </c>
      <c r="E15" s="178">
        <f>IF('Base Model'!ModelYear&gt;'Base Model'!EXP_CAP,"",E13*D24+(E14-D19)/E14)</f>
        <v>1.015071598</v>
      </c>
      <c r="F15" s="178">
        <f>IF('Base Model'!ModelYear&gt;'Base Model'!EXP_CAP,"",F13*E24+(F14-E19)/F14)</f>
        <v>0.9231453014</v>
      </c>
      <c r="G15" s="178">
        <f>IF('Base Model'!ModelYear&gt;'Base Model'!EXP_CAP,"",G13*F24+(G14-F19)/G14)</f>
        <v>0.6423629919</v>
      </c>
      <c r="H15" s="178">
        <f>IF('Base Model'!ModelYear&gt;'Base Model'!EXP_CAP,"",H13*G24+(H14-G19)/H14)</f>
        <v>0.3184895358</v>
      </c>
      <c r="I15" s="178" t="str">
        <f>IF('Base Model'!ModelYear&gt;'Base Model'!EXP_CAP,"",I13*H24+(I14-H19)/I14)</f>
        <v/>
      </c>
      <c r="J15" s="178" t="str">
        <f>IF('Base Model'!ModelYear&gt;'Base Model'!EXP_CAP,"",J13*I24+(J14-I19)/J14)</f>
        <v/>
      </c>
      <c r="K15" s="178" t="str">
        <f>IF('Base Model'!ModelYear&gt;'Base Model'!EXP_CAP,"",K13*J24+(K14-J19)/K14)</f>
        <v/>
      </c>
      <c r="L15" s="178" t="str">
        <f>IF('Base Model'!ModelYear&gt;'Base Model'!EXP_CAP,"",L13*K24+(L14-K19)/L14)</f>
        <v/>
      </c>
      <c r="M15" s="178">
        <f>'Base Model'!Terminal_EbitGrowth</f>
        <v>0.03</v>
      </c>
    </row>
    <row r="16" ht="15.75" customHeight="1">
      <c r="A16" s="64" t="s">
        <v>260</v>
      </c>
      <c r="B16" s="169">
        <f>IF(Data!D95="No",Data!C112,Data!D112)</f>
        <v>7025.696</v>
      </c>
      <c r="C16" s="169">
        <f>IF('Base Model'!ModelYear&gt;'Base Model'!EXP_CAP,"",B16*(1+'Base Model'!Model_EbitGrowth))</f>
        <v>970.2166125</v>
      </c>
      <c r="D16" s="169">
        <f>IF('Base Model'!ModelYear&gt;'Base Model'!EXP_CAP,"",C16*(1+'Base Model'!Model_EbitGrowth))</f>
        <v>768.6328012</v>
      </c>
      <c r="E16" s="169">
        <f>IF('Base Model'!ModelYear&gt;'Base Model'!EXP_CAP,"",D16*(1+'Base Model'!Model_EbitGrowth))</f>
        <v>1548.850127</v>
      </c>
      <c r="F16" s="169">
        <f>IF('Base Model'!ModelYear&gt;'Base Model'!EXP_CAP,"",E16*(1+'Base Model'!Model_EbitGrowth))</f>
        <v>2978.663845</v>
      </c>
      <c r="G16" s="169">
        <f>IF('Base Model'!ModelYear&gt;'Base Model'!EXP_CAP,"",F16*(1+'Base Model'!Model_EbitGrowth))</f>
        <v>4892.047264</v>
      </c>
      <c r="H16" s="169">
        <f>IF('Base Model'!ModelYear&gt;'Base Model'!EXP_CAP,"",G16*(1+'Base Model'!Model_EbitGrowth))</f>
        <v>6450.113126</v>
      </c>
      <c r="I16" s="169" t="str">
        <f>IF('Base Model'!ModelYear&gt;'Base Model'!EXP_CAP,"",H16*(1+'Base Model'!Model_EbitGrowth))</f>
        <v/>
      </c>
      <c r="J16" s="169" t="str">
        <f>IF('Base Model'!ModelYear&gt;'Base Model'!EXP_CAP,"",I16*(1+'Base Model'!Model_EbitGrowth))</f>
        <v/>
      </c>
      <c r="K16" s="169" t="str">
        <f>IF('Base Model'!ModelYear&gt;'Base Model'!EXP_CAP,"",J16*(1+'Base Model'!Model_EbitGrowth))</f>
        <v/>
      </c>
      <c r="L16" s="169" t="str">
        <f>IF('Base Model'!ModelYear&gt;'Base Model'!EXP_CAP,"",K16*(1+'Base Model'!Model_EbitGrowth))</f>
        <v/>
      </c>
      <c r="M16" s="169">
        <f>INDIRECT(ADDRESS(ROW(A16),'Base Model'!EXP_CAP+2))*(1+'Base Model'!Terminal_EbitGrowth)</f>
        <v>6643.61652</v>
      </c>
    </row>
    <row r="17" ht="15.75" customHeight="1">
      <c r="A17" s="166" t="s">
        <v>261</v>
      </c>
      <c r="B17" s="168">
        <f>Data!F58</f>
        <v>0.146951567</v>
      </c>
      <c r="C17" s="171">
        <v>0.14</v>
      </c>
      <c r="D17" s="171">
        <v>0.16</v>
      </c>
      <c r="E17" s="171">
        <v>0.18</v>
      </c>
      <c r="F17" s="171">
        <v>0.2</v>
      </c>
      <c r="G17" s="171">
        <v>0.22</v>
      </c>
      <c r="H17" s="171">
        <v>0.24</v>
      </c>
      <c r="I17" s="172"/>
      <c r="J17" s="172"/>
      <c r="K17" s="172"/>
      <c r="L17" s="172"/>
      <c r="M17" s="168">
        <f>Data!D57</f>
        <v>0.25</v>
      </c>
    </row>
    <row r="18" ht="15.75" customHeight="1">
      <c r="A18" s="179" t="s">
        <v>147</v>
      </c>
      <c r="B18" s="180">
        <f>IF(Data!D95="No",Data!C114,Data!D114)</f>
        <v>6007.905038</v>
      </c>
      <c r="C18" s="180">
        <f>IF('Base Model'!ModelYear&gt;'Base Model'!EXP_CAP,"",C16*(1-C17))</f>
        <v>834.3862867</v>
      </c>
      <c r="D18" s="180">
        <f>IF('Base Model'!ModelYear&gt;'Base Model'!EXP_CAP,"",D16*(1-D17))</f>
        <v>645.651553</v>
      </c>
      <c r="E18" s="180">
        <f>IF('Base Model'!ModelYear&gt;'Base Model'!EXP_CAP,"",E16*(1-E17))</f>
        <v>1270.057104</v>
      </c>
      <c r="F18" s="180">
        <f>IF('Base Model'!ModelYear&gt;'Base Model'!EXP_CAP,"",F16*(1-F17))</f>
        <v>2382.931076</v>
      </c>
      <c r="G18" s="180">
        <f>IF('Base Model'!ModelYear&gt;'Base Model'!EXP_CAP,"",G16*(1-G17))</f>
        <v>3815.796866</v>
      </c>
      <c r="H18" s="180">
        <f>IF('Base Model'!ModelYear&gt;'Base Model'!EXP_CAP,"",H16*(1-H17))</f>
        <v>4902.085976</v>
      </c>
      <c r="I18" s="180" t="str">
        <f>IF('Base Model'!ModelYear&gt;'Base Model'!EXP_CAP,"",I16*(1-I17))</f>
        <v/>
      </c>
      <c r="J18" s="180" t="str">
        <f>IF('Base Model'!ModelYear&gt;'Base Model'!EXP_CAP,"",J16*(1-J17))</f>
        <v/>
      </c>
      <c r="K18" s="180" t="str">
        <f>IF('Base Model'!ModelYear&gt;'Base Model'!EXP_CAP,"",K16*(1-K17))</f>
        <v/>
      </c>
      <c r="L18" s="180" t="str">
        <f>IF('Base Model'!ModelYear&gt;'Base Model'!EXP_CAP,"",L16*(1-L17))</f>
        <v/>
      </c>
      <c r="M18" s="180">
        <f>M16*(1-M17)</f>
        <v>4982.71239</v>
      </c>
    </row>
    <row r="19" ht="15.75" customHeight="1">
      <c r="A19" s="170" t="s">
        <v>174</v>
      </c>
      <c r="B19" s="168">
        <f>B18/B9</f>
        <v>0.601021777</v>
      </c>
      <c r="C19" s="168">
        <f>IF('Base Model'!ModelYear&gt;'Base Model'!EXP_CAP,"",C18/C9)</f>
        <v>0.05488726985</v>
      </c>
      <c r="D19" s="168">
        <f>IF('Base Model'!ModelYear&gt;'Base Model'!EXP_CAP,"",D18/D9)</f>
        <v>0.05279377925</v>
      </c>
      <c r="E19" s="168">
        <f>IF('Base Model'!ModelYear&gt;'Base Model'!EXP_CAP,"",E18/E9)</f>
        <v>0.1004723315</v>
      </c>
      <c r="F19" s="168">
        <f>IF('Base Model'!ModelYear&gt;'Base Model'!EXP_CAP,"",F18/F9)</f>
        <v>0.1745246647</v>
      </c>
      <c r="G19" s="168">
        <f>IF('Base Model'!ModelYear&gt;'Base Model'!EXP_CAP,"",G18/G9)</f>
        <v>0.2535082199</v>
      </c>
      <c r="H19" s="168">
        <f>IF('Base Model'!ModelYear&gt;'Base Model'!EXP_CAP,"",H18/H9)</f>
        <v>0.293026293</v>
      </c>
      <c r="I19" s="168" t="str">
        <f>IF('Base Model'!ModelYear&gt;'Base Model'!EXP_CAP,"",I18/I9)</f>
        <v/>
      </c>
      <c r="J19" s="168" t="str">
        <f>IF('Base Model'!ModelYear&gt;'Base Model'!EXP_CAP,"",J18/J9)</f>
        <v/>
      </c>
      <c r="K19" s="168" t="str">
        <f>IF('Base Model'!ModelYear&gt;'Base Model'!EXP_CAP,"",K18/K9)</f>
        <v/>
      </c>
      <c r="L19" s="168" t="str">
        <f>IF('Base Model'!ModelYear&gt;'Base Model'!EXP_CAP,"",L18/L9)</f>
        <v/>
      </c>
      <c r="M19" s="168">
        <f>Dashboard!G37</f>
        <v>0.0975</v>
      </c>
    </row>
    <row r="20" ht="15.75" customHeight="1">
      <c r="A20" s="74" t="s">
        <v>241</v>
      </c>
      <c r="B20" s="181">
        <f>IF(Data!D95="No",Data!C121,Data!D121)</f>
        <v>674.006</v>
      </c>
      <c r="C20" s="182">
        <f t="shared" ref="C20:G20" si="2">B20*0.9</f>
        <v>606.6054</v>
      </c>
      <c r="D20" s="182">
        <f t="shared" si="2"/>
        <v>545.94486</v>
      </c>
      <c r="E20" s="182">
        <f t="shared" si="2"/>
        <v>491.350374</v>
      </c>
      <c r="F20" s="182">
        <f t="shared" si="2"/>
        <v>442.2153366</v>
      </c>
      <c r="G20" s="182">
        <f t="shared" si="2"/>
        <v>397.9938029</v>
      </c>
      <c r="H20" s="182"/>
      <c r="I20" s="183"/>
      <c r="J20" s="183"/>
      <c r="K20" s="183"/>
      <c r="L20" s="184" t="str">
        <f>IF('Base Model'!ModelYear&gt;='Base Model'!EXP_CAP,"",L11*#REF!)</f>
        <v/>
      </c>
      <c r="M20" s="184"/>
    </row>
    <row r="21" ht="15.75" customHeight="1">
      <c r="A21" s="166" t="s">
        <v>167</v>
      </c>
      <c r="B21" s="185">
        <f>Data!C32</f>
        <v>4227.38</v>
      </c>
      <c r="C21" s="186">
        <f>IF('Base Model'!ModelYear&gt;='Base Model'!EXP_CAP,"",C11*$B$4)</f>
        <v>648.6465782</v>
      </c>
      <c r="D21" s="186">
        <f>IF('Base Model'!ModelYear&gt;='Base Model'!EXP_CAP,"",D11*$B$4)</f>
        <v>513.8760046</v>
      </c>
      <c r="E21" s="186">
        <f>IF('Base Model'!ModelYear&gt;='Base Model'!EXP_CAP,"",E11*$B$4)</f>
        <v>1035.496942</v>
      </c>
      <c r="F21" s="186">
        <f>IF('Base Model'!ModelYear&gt;='Base Model'!EXP_CAP,"",F11*$B$4)</f>
        <v>1991.411078</v>
      </c>
      <c r="G21" s="186">
        <f>IF('Base Model'!ModelYear&gt;='Base Model'!EXP_CAP,"",G11*$B$4)</f>
        <v>3270.619857</v>
      </c>
      <c r="H21" s="186" t="str">
        <f>IF('Base Model'!ModelYear&gt;='Base Model'!EXP_CAP,"",H11*$B$4)</f>
        <v/>
      </c>
      <c r="I21" s="186" t="str">
        <f>IF('Base Model'!ModelYear&gt;='Base Model'!EXP_CAP,"",I11*$B$4)</f>
        <v/>
      </c>
      <c r="J21" s="186" t="str">
        <f>IF('Base Model'!ModelYear&gt;='Base Model'!EXP_CAP,"",J11*$B$4)</f>
        <v/>
      </c>
      <c r="K21" s="186" t="str">
        <f>IF('Base Model'!ModelYear&gt;='Base Model'!EXP_CAP,"",K11*$B$4)</f>
        <v/>
      </c>
      <c r="L21" s="187" t="str">
        <f>IF('Base Model'!ModelYear&gt;='Base Model'!EXP_CAP,"",L11*$B$4)</f>
        <v/>
      </c>
      <c r="M21" s="188"/>
    </row>
    <row r="22" ht="15.75" customHeight="1">
      <c r="A22" s="189" t="s">
        <v>168</v>
      </c>
      <c r="B22" s="190">
        <f>Data!C33</f>
        <v>4531.66</v>
      </c>
      <c r="C22" s="191">
        <f>IF('Base Model'!ModelYear&gt;='Base Model'!EXP_CAP,"",C21-B21)</f>
        <v>-3578.733422</v>
      </c>
      <c r="D22" s="191">
        <f>IF('Base Model'!ModelYear&gt;='Base Model'!EXP_CAP,"",D21-C21)</f>
        <v>-134.7705736</v>
      </c>
      <c r="E22" s="191">
        <f>IF('Base Model'!ModelYear&gt;='Base Model'!EXP_CAP,"",E21-D21)</f>
        <v>521.6209372</v>
      </c>
      <c r="F22" s="191">
        <f>IF('Base Model'!ModelYear&gt;='Base Model'!EXP_CAP,"",F21-E21)</f>
        <v>955.9141366</v>
      </c>
      <c r="G22" s="191">
        <f>IF('Base Model'!ModelYear&gt;='Base Model'!EXP_CAP,"",G21-F21)</f>
        <v>1279.208778</v>
      </c>
      <c r="H22" s="191" t="str">
        <f>IF('Base Model'!ModelYear&gt;='Base Model'!EXP_CAP,"",H21-G21)</f>
        <v/>
      </c>
      <c r="I22" s="191" t="str">
        <f>IF('Base Model'!ModelYear&gt;='Base Model'!EXP_CAP,"",I21-H21)</f>
        <v/>
      </c>
      <c r="J22" s="191" t="str">
        <f>IF('Base Model'!ModelYear&gt;='Base Model'!EXP_CAP,"",J21-I21)</f>
        <v/>
      </c>
      <c r="K22" s="191" t="str">
        <f>IF('Base Model'!ModelYear&gt;='Base Model'!EXP_CAP,"",K21-J21)</f>
        <v/>
      </c>
      <c r="L22" s="192" t="str">
        <f>IF('Base Model'!ModelYear&gt;='Base Model'!EXP_CAP,"",L21-K21)</f>
        <v/>
      </c>
      <c r="M22" s="192"/>
    </row>
    <row r="23" ht="15.75" customHeight="1">
      <c r="A23" s="193" t="s">
        <v>170</v>
      </c>
      <c r="B23" s="181">
        <f>B20+B22</f>
        <v>5205.666</v>
      </c>
      <c r="C23" s="169">
        <f t="shared" ref="C23:K23" si="3">IF(C22="","",C20+C22)</f>
        <v>-2972.128022</v>
      </c>
      <c r="D23" s="169">
        <f t="shared" si="3"/>
        <v>411.1742864</v>
      </c>
      <c r="E23" s="169">
        <f t="shared" si="3"/>
        <v>1012.971311</v>
      </c>
      <c r="F23" s="169">
        <f t="shared" si="3"/>
        <v>1398.129473</v>
      </c>
      <c r="G23" s="169">
        <f t="shared" si="3"/>
        <v>1677.202581</v>
      </c>
      <c r="H23" s="169" t="str">
        <f t="shared" si="3"/>
        <v/>
      </c>
      <c r="I23" s="169" t="str">
        <f t="shared" si="3"/>
        <v/>
      </c>
      <c r="J23" s="169" t="str">
        <f t="shared" si="3"/>
        <v/>
      </c>
      <c r="K23" s="169" t="str">
        <f t="shared" si="3"/>
        <v/>
      </c>
      <c r="L23" s="184"/>
      <c r="M23" s="184"/>
    </row>
    <row r="24" ht="15.75" customHeight="1">
      <c r="A24" s="194" t="s">
        <v>262</v>
      </c>
      <c r="B24" s="168">
        <f>B23/B18</f>
        <v>0.866469421</v>
      </c>
      <c r="C24" s="195">
        <f>IF('Base Model'!ModelYear&gt;'Base Model'!EXP_CAP,"",IF(C22="",$M$15/C19,C23/C18))</f>
        <v>-3.562052815</v>
      </c>
      <c r="D24" s="195">
        <f>IF('Base Model'!ModelYear&gt;'Base Model'!EXP_CAP,"",IF(D22="",$M$15/D19,D23/D18))</f>
        <v>0.6368362075</v>
      </c>
      <c r="E24" s="195">
        <f>IF('Base Model'!ModelYear&gt;'Base Model'!EXP_CAP,"",IF(E22="",$M$15/E19,E23/E18))</f>
        <v>0.7975793434</v>
      </c>
      <c r="F24" s="195">
        <f>IF('Base Model'!ModelYear&gt;'Base Model'!EXP_CAP,"",IF(F22="",$M$15/F19,F23/F18))</f>
        <v>0.5867267784</v>
      </c>
      <c r="G24" s="195">
        <f>IF('Base Model'!ModelYear&gt;'Base Model'!EXP_CAP,"",IF(G22="",$M$15/G19,G23/G18))</f>
        <v>0.439541894</v>
      </c>
      <c r="H24" s="195">
        <f>IF('Base Model'!ModelYear&gt;'Base Model'!EXP_CAP,"",IF(H22="",$M$15/H19,H23/H18))</f>
        <v>0.1023798912</v>
      </c>
      <c r="I24" s="195" t="str">
        <f>IF('Base Model'!ModelYear&gt;'Base Model'!EXP_CAP,"",IF(I22="",$M$15/I19,I23/I18))</f>
        <v/>
      </c>
      <c r="J24" s="195" t="str">
        <f>IF('Base Model'!ModelYear&gt;'Base Model'!EXP_CAP,"",IF(J22="",$M$15/J19,J23/J18))</f>
        <v/>
      </c>
      <c r="K24" s="195" t="str">
        <f>IF('Base Model'!ModelYear&gt;'Base Model'!EXP_CAP,"",IF(K22="",$M$15/K19,K23/K18))</f>
        <v/>
      </c>
      <c r="L24" s="116"/>
      <c r="M24" s="196">
        <f>M15/M19</f>
        <v>0.3076923077</v>
      </c>
    </row>
    <row r="25" ht="15.75" customHeight="1">
      <c r="A25" s="197" t="s">
        <v>263</v>
      </c>
      <c r="B25" s="198">
        <f>B18-(B20+B22)</f>
        <v>802.2390384</v>
      </c>
      <c r="C25" s="199">
        <f>IF('Base Model'!ModelYear&gt;'Base Model'!EXP_CAP,"",IF('Base Model'!ModelYear='Base Model'!EXP_CAP,'Base Model'!Model_NOPAT*(1-C24),'Base Model'!Model_NOPAT-C23))</f>
        <v>3806.514308</v>
      </c>
      <c r="D25" s="199">
        <f>IF('Base Model'!ModelYear&gt;'Base Model'!EXP_CAP,"",IF('Base Model'!ModelYear='Base Model'!EXP_CAP,'Base Model'!Model_NOPAT*(1-D24),'Base Model'!Model_NOPAT-D23))</f>
        <v>234.4772666</v>
      </c>
      <c r="E25" s="199">
        <f>IF('Base Model'!ModelYear&gt;'Base Model'!EXP_CAP,"",IF('Base Model'!ModelYear='Base Model'!EXP_CAP,'Base Model'!Model_NOPAT*(1-E24),'Base Model'!Model_NOPAT-E23))</f>
        <v>257.085793</v>
      </c>
      <c r="F25" s="199">
        <f>IF('Base Model'!ModelYear&gt;'Base Model'!EXP_CAP,"",IF('Base Model'!ModelYear='Base Model'!EXP_CAP,'Base Model'!Model_NOPAT*(1-F24),'Base Model'!Model_NOPAT-F23))</f>
        <v>984.8016025</v>
      </c>
      <c r="G25" s="199">
        <f>IF('Base Model'!ModelYear&gt;'Base Model'!EXP_CAP,"",IF('Base Model'!ModelYear='Base Model'!EXP_CAP,'Base Model'!Model_NOPAT*(1-G24),'Base Model'!Model_NOPAT-G23))</f>
        <v>2138.594284</v>
      </c>
      <c r="H25" s="199">
        <f>IF('Base Model'!ModelYear&gt;'Base Model'!EXP_CAP,"",IF('Base Model'!ModelYear='Base Model'!EXP_CAP,'Base Model'!Model_NOPAT*(1-H24),'Base Model'!Model_NOPAT-H23))</f>
        <v>4400.210947</v>
      </c>
      <c r="I25" s="199" t="str">
        <f>IF('Base Model'!ModelYear&gt;'Base Model'!EXP_CAP,"",IF('Base Model'!ModelYear='Base Model'!EXP_CAP,'Base Model'!Model_NOPAT*(1-I24),'Base Model'!Model_NOPAT-I23))</f>
        <v/>
      </c>
      <c r="J25" s="199" t="str">
        <f>IF('Base Model'!ModelYear&gt;'Base Model'!EXP_CAP,"",IF('Base Model'!ModelYear='Base Model'!EXP_CAP,'Base Model'!Model_NOPAT*(1-J24),'Base Model'!Model_NOPAT-J23))</f>
        <v/>
      </c>
      <c r="K25" s="199" t="str">
        <f>IF('Base Model'!ModelYear&gt;'Base Model'!EXP_CAP,"",IF('Base Model'!ModelYear='Base Model'!EXP_CAP,'Base Model'!Model_NOPAT*(1-K24),'Base Model'!Model_NOPAT-K23))</f>
        <v/>
      </c>
      <c r="L25" s="199" t="str">
        <f>IF('Base Model'!ModelYear&gt;'Base Model'!EXP_CAP,"",IF('Base Model'!ModelYear='Base Model'!EXP_CAP,'Base Model'!Model_NOPAT*(1-L24),'Base Model'!Model_NOPAT-L23))</f>
        <v/>
      </c>
      <c r="M25" s="200">
        <f>M18*(1-M24)</f>
        <v>3449.570116</v>
      </c>
    </row>
    <row r="26" ht="15.75" customHeight="1">
      <c r="A26" s="166" t="s">
        <v>264</v>
      </c>
      <c r="B26" s="55"/>
      <c r="C26" s="168">
        <f>discount_rate('Base Model'!EXP_Wacc,'Base Model'!Terminal_Wacc,C8,'Base Model'!EXP_CAP,$J5)</f>
        <v>0.075</v>
      </c>
      <c r="D26" s="168">
        <f>discount_rate('Base Model'!EXP_Wacc,'Base Model'!Terminal_Wacc,D8,'Base Model'!EXP_CAP,$J5)</f>
        <v>0.075</v>
      </c>
      <c r="E26" s="168">
        <f>discount_rate('Base Model'!EXP_Wacc,'Base Model'!Terminal_Wacc,E8,'Base Model'!EXP_CAP,$J5)</f>
        <v>0.075</v>
      </c>
      <c r="F26" s="168">
        <f>discount_rate('Base Model'!EXP_Wacc,'Base Model'!Terminal_Wacc,F8,'Base Model'!EXP_CAP,$J5)</f>
        <v>0.0825</v>
      </c>
      <c r="G26" s="168">
        <f>discount_rate('Base Model'!EXP_Wacc,'Base Model'!Terminal_Wacc,G8,'Base Model'!EXP_CAP,$J5)</f>
        <v>0.09</v>
      </c>
      <c r="H26" s="168">
        <f>discount_rate('Base Model'!EXP_Wacc,'Base Model'!Terminal_Wacc,H8,'Base Model'!EXP_CAP,$J5)</f>
        <v>0.0975</v>
      </c>
      <c r="I26" s="168" t="str">
        <f>discount_rate('Base Model'!EXP_Wacc,'Base Model'!Terminal_Wacc,I8,'Base Model'!EXP_CAP,$J5)</f>
        <v/>
      </c>
      <c r="J26" s="168" t="str">
        <f>discount_rate('Base Model'!EXP_Wacc,'Base Model'!Terminal_Wacc,J8,'Base Model'!EXP_CAP,$J5)</f>
        <v/>
      </c>
      <c r="K26" s="168" t="str">
        <f>discount_rate('Base Model'!EXP_Wacc,'Base Model'!Terminal_Wacc,K8,'Base Model'!EXP_CAP,$J5)</f>
        <v/>
      </c>
      <c r="L26" s="168" t="str">
        <f>discount_rate('Base Model'!EXP_Wacc,'Base Model'!Terminal_Wacc,L8,'Base Model'!EXP_CAP,$J5)</f>
        <v/>
      </c>
      <c r="M26" s="168">
        <f>'Base Model'!Terminal_Wacc</f>
        <v>0.0975</v>
      </c>
    </row>
    <row r="27" ht="15.75" customHeight="1">
      <c r="A27" s="201" t="s">
        <v>265</v>
      </c>
      <c r="B27" s="202"/>
      <c r="C27" s="196">
        <f>IF('Base Model'!ModelYear&gt;'Base Model'!EXP_CAP,"",1+C26)</f>
        <v>1.075</v>
      </c>
      <c r="D27" s="196">
        <f>IF('Base Model'!ModelYear&gt;'Base Model'!EXP_CAP,"",(1+C26)*(1+D26))</f>
        <v>1.155625</v>
      </c>
      <c r="E27" s="196">
        <f>IF('Base Model'!ModelYear&gt;'Base Model'!EXP_CAP,"",(1+C26)*(1+D26)*(1+E26))</f>
        <v>1.242296875</v>
      </c>
      <c r="F27" s="196">
        <f>IF('Base Model'!ModelYear&gt;'Base Model'!EXP_CAP,"",(1+C26)*(1+D26)*(1+E26)*(1+F26))</f>
        <v>1.344786367</v>
      </c>
      <c r="G27" s="196">
        <f>IF('Base Model'!ModelYear&gt;'Base Model'!EXP_CAP,"",(1+C26)*(1+D26)*(1+E26)*(1+F26)*(1+G26))</f>
        <v>1.46581714</v>
      </c>
      <c r="H27" s="196">
        <f>IF('Base Model'!ModelYear&gt;'Base Model'!EXP_CAP,"",(1+C26)*(1+D26)*(1+E26)*(1+F26)*(1+G26)*(1+H26))</f>
        <v>1.608734311</v>
      </c>
      <c r="I27" s="196" t="str">
        <f>IF('Base Model'!ModelYear&gt;'Base Model'!EXP_CAP,"",(1+C26)*(1+D26)*(1+E26)*(1+F26)*(1+G26)*(1+H26)*(1+I26))</f>
        <v/>
      </c>
      <c r="J27" s="196" t="str">
        <f>IF('Base Model'!ModelYear&gt;'Base Model'!EXP_CAP,"",(1+C26)*(1+D26)*(1+E26)*(1+F26)*(1+G26)*(1+H26)*(1+I26)*(1+J26))</f>
        <v/>
      </c>
      <c r="K27" s="196" t="str">
        <f>IF('Base Model'!ModelYear&gt;'Base Model'!EXP_CAP,"",(1+C26)*(1+D26)*(1+E26)*(1+F26)*(1+G26)*(1+H26)*(1+I26)*(1+J26)*(1+K26))</f>
        <v/>
      </c>
      <c r="L27" s="196" t="str">
        <f>IF('Base Model'!ModelYear&gt;'Base Model'!EXP_CAP,"",(1+C26)*(1+D26)*(1+E26)*(1+F26)*(1+G26)*(1+H26)*(1+I26)*(1+J26)*(1+K26)*(1+L26))</f>
        <v/>
      </c>
      <c r="M27" s="203"/>
    </row>
    <row r="28" ht="15.75" customHeight="1">
      <c r="A28" s="204" t="s">
        <v>266</v>
      </c>
      <c r="B28" s="205"/>
      <c r="C28" s="200">
        <f>IF('Base Model'!ModelYear&gt;'Base Model'!EXP_CAP,"",'Base Model'!Model_FCFF/C27)</f>
        <v>3540.943543</v>
      </c>
      <c r="D28" s="200">
        <f>IF('Base Model'!ModelYear&gt;'Base Model'!EXP_CAP,"",'Base Model'!Model_FCFF/D27)</f>
        <v>202.9008256</v>
      </c>
      <c r="E28" s="200">
        <f>IF('Base Model'!ModelYear&gt;'Base Model'!EXP_CAP,"",'Base Model'!Model_FCFF/E27)</f>
        <v>206.9439263</v>
      </c>
      <c r="F28" s="200">
        <f>IF('Base Model'!ModelYear&gt;'Base Model'!EXP_CAP,"",'Base Model'!Model_FCFF/F27)</f>
        <v>732.3108165</v>
      </c>
      <c r="G28" s="200">
        <f>IF('Base Model'!ModelYear&gt;'Base Model'!EXP_CAP,"",'Base Model'!Model_FCFF/G27)</f>
        <v>1458.977539</v>
      </c>
      <c r="H28" s="200">
        <f>IF('Base Model'!ModelYear&gt;'Base Model'!EXP_CAP,"",'Base Model'!Model_FCFF/H27)</f>
        <v>2735.200533</v>
      </c>
      <c r="I28" s="200" t="str">
        <f>IF('Base Model'!ModelYear&gt;'Base Model'!EXP_CAP,"",'Base Model'!Model_FCFF/I27)</f>
        <v/>
      </c>
      <c r="J28" s="200" t="str">
        <f>IF('Base Model'!ModelYear&gt;'Base Model'!EXP_CAP,"",'Base Model'!Model_FCFF/J27)</f>
        <v/>
      </c>
      <c r="K28" s="200" t="str">
        <f>IF('Base Model'!ModelYear&gt;'Base Model'!EXP_CAP,"",'Base Model'!Model_FCFF/K27)</f>
        <v/>
      </c>
      <c r="L28" s="200" t="str">
        <f>IF('Base Model'!ModelYear&gt;'Base Model'!EXP_CAP,"",'Base Model'!Model_FCFF/L27)</f>
        <v/>
      </c>
      <c r="M28" s="203"/>
    </row>
    <row r="29" ht="15.75" customHeight="1"/>
    <row r="30" ht="15.75" customHeight="1">
      <c r="A30" s="113" t="s">
        <v>267</v>
      </c>
      <c r="C30" s="64" t="s">
        <v>268</v>
      </c>
      <c r="D30" s="64" t="s">
        <v>269</v>
      </c>
    </row>
    <row r="31" ht="15.75" customHeight="1">
      <c r="A31" s="206" t="s">
        <v>270</v>
      </c>
      <c r="C31" s="168">
        <f>D31/D34</f>
        <v>0.1624532273</v>
      </c>
      <c r="D31" s="169">
        <f>SUM(C28:L28)</f>
        <v>8877.277184</v>
      </c>
    </row>
    <row r="32" ht="15.75" customHeight="1">
      <c r="A32" s="206" t="s">
        <v>271</v>
      </c>
      <c r="C32" s="168">
        <f>1-C31</f>
        <v>0.8375467727</v>
      </c>
      <c r="D32" s="169">
        <f>M25/('Base Model'!Terminal_Wacc-'Base Model'!Terminal_EbitGrowth)/IF('Base Model'!EXP_CAP=0,1,INDIRECT(ADDRESS(ROW(A27),'Base Model'!EXP_CAP+2)))</f>
        <v>31767.04947</v>
      </c>
    </row>
    <row r="33" ht="15.75" customHeight="1">
      <c r="A33" s="206" t="s">
        <v>272</v>
      </c>
      <c r="D33" s="169">
        <f>if(Data!D81="Yes",Data!D83,Data!D84)+Data!C23</f>
        <v>14000.8</v>
      </c>
    </row>
    <row r="34" ht="15.75" customHeight="1">
      <c r="A34" s="64" t="s">
        <v>273</v>
      </c>
      <c r="D34" s="200">
        <f>D31+D32+D33</f>
        <v>54645.12666</v>
      </c>
      <c r="E34" s="207"/>
    </row>
    <row r="35" ht="15.75" customHeight="1"/>
    <row r="36" ht="15.75" customHeight="1">
      <c r="A36" s="64" t="s">
        <v>274</v>
      </c>
      <c r="D36" s="169">
        <f>Data!D77</f>
        <v>180.07</v>
      </c>
    </row>
    <row r="37" ht="15.75" customHeight="1">
      <c r="A37" s="64" t="s">
        <v>275</v>
      </c>
      <c r="D37" s="208">
        <f>D34-D36</f>
        <v>54465.05666</v>
      </c>
      <c r="E37" s="37"/>
    </row>
    <row r="38" ht="15.75" customHeight="1">
      <c r="A38" s="64" t="s">
        <v>276</v>
      </c>
      <c r="D38" s="169">
        <f>Data!F87</f>
        <v>98.33</v>
      </c>
    </row>
    <row r="39" ht="15.75" customHeight="1">
      <c r="A39" s="64" t="s">
        <v>277</v>
      </c>
      <c r="D39" s="169">
        <f>Data!D78</f>
        <v>0</v>
      </c>
    </row>
    <row r="40" ht="15.75" customHeight="1">
      <c r="A40" s="64" t="s">
        <v>278</v>
      </c>
      <c r="D40" s="208">
        <f>D37-D38-D39</f>
        <v>54366.72666</v>
      </c>
      <c r="E40" s="37"/>
      <c r="F40" s="209" t="str">
        <f>Dashboard!C11</f>
        <v>CNY</v>
      </c>
    </row>
    <row r="41" ht="15.75" customHeight="1">
      <c r="A41" s="64" t="s">
        <v>279</v>
      </c>
      <c r="E41" s="210">
        <f>price_pershare(D40,Data!F3,Cs_Shares,Dashboard!C12)</f>
        <v>11.73255864</v>
      </c>
      <c r="F41" s="211" t="str">
        <f>Dashboard!D6</f>
        <v>CNY</v>
      </c>
    </row>
    <row r="42" ht="15.75" customHeight="1"/>
    <row r="43" ht="15.75" customHeight="1">
      <c r="A43" s="113" t="s">
        <v>280</v>
      </c>
      <c r="B43" s="64" t="s">
        <v>281</v>
      </c>
      <c r="D43" s="161" t="str">
        <f>F41</f>
        <v>CNY</v>
      </c>
      <c r="E43" s="161">
        <f>Dashboard!C6</f>
        <v>72.7</v>
      </c>
      <c r="F43" s="64" t="s">
        <v>282</v>
      </c>
      <c r="G43" s="212">
        <f>E43/E41-1</f>
        <v>5.196431844</v>
      </c>
      <c r="H43" s="64" t="str">
        <f>IF(G43&lt;0,"undervalued","overvalued") &amp; " by the market."</f>
        <v>overvalued by the market.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D38:E38"/>
    <mergeCell ref="D39:E39"/>
    <mergeCell ref="D40:E40"/>
    <mergeCell ref="A1:C1"/>
    <mergeCell ref="D31:E31"/>
    <mergeCell ref="D32:E32"/>
    <mergeCell ref="D33:E33"/>
    <mergeCell ref="D34:E34"/>
    <mergeCell ref="D36:E36"/>
    <mergeCell ref="D37:E37"/>
  </mergeCells>
  <dataValidations>
    <dataValidation type="list" allowBlank="1" sqref="B2">
      <formula1>"Base Case,Bear Case,Bull Case"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6" width="12.63"/>
  </cols>
  <sheetData>
    <row r="1" ht="15.75" customHeight="1">
      <c r="A1" s="111" t="s">
        <v>242</v>
      </c>
    </row>
    <row r="2" ht="15.75" customHeight="1">
      <c r="A2" s="113" t="s">
        <v>243</v>
      </c>
      <c r="B2" s="213" t="s">
        <v>42</v>
      </c>
    </row>
    <row r="3" ht="15.75" customHeight="1">
      <c r="A3" s="160" t="s">
        <v>244</v>
      </c>
      <c r="D3" s="160" t="s">
        <v>245</v>
      </c>
      <c r="H3" s="160" t="s">
        <v>246</v>
      </c>
    </row>
    <row r="4" ht="15.75" customHeight="1">
      <c r="A4" s="64" t="s">
        <v>247</v>
      </c>
      <c r="B4" s="99">
        <f>IF(Data!D70="No Adjustment",Data!D72,if(Data!D70="Direct Input",Data!D74,Data!D73))</f>
        <v>0.1690679462</v>
      </c>
      <c r="D4" s="64" t="s">
        <v>25</v>
      </c>
      <c r="F4" s="99">
        <f>Dashboard!G36</f>
        <v>0.03</v>
      </c>
      <c r="H4" s="64" t="s">
        <v>24</v>
      </c>
      <c r="J4" s="161">
        <f>IF(B2="Base Case",Dashboard!E34,IF(B2="Bear Case",Dashboard!D34,Dashboard!F34))</f>
        <v>8</v>
      </c>
    </row>
    <row r="5" ht="15.75" customHeight="1">
      <c r="A5" s="64" t="s">
        <v>248</v>
      </c>
      <c r="B5" s="162">
        <f>Dashboard!G11</f>
        <v>0.075</v>
      </c>
      <c r="D5" s="64" t="s">
        <v>248</v>
      </c>
      <c r="F5" s="162">
        <f>Dashboard!G12</f>
        <v>0.0975</v>
      </c>
      <c r="H5" s="74" t="s">
        <v>249</v>
      </c>
      <c r="J5" s="163">
        <f>_xlfn.FLOOR.MATH((J4/2))</f>
        <v>4</v>
      </c>
    </row>
    <row r="6" ht="15.75" customHeight="1"/>
    <row r="7" ht="15.75" customHeight="1">
      <c r="A7" s="113" t="s">
        <v>250</v>
      </c>
      <c r="B7" s="64" t="s">
        <v>251</v>
      </c>
    </row>
    <row r="8" ht="15.75" customHeight="1">
      <c r="A8" s="164" t="str">
        <f>"(Numbers in "&amp;Data!F3&amp;Dashboard!C11&amp;")"</f>
        <v>(Numbers in 1000000CNY)</v>
      </c>
      <c r="B8" s="165" t="str">
        <f>Data!C6</f>
        <v>FY 2021</v>
      </c>
      <c r="C8" s="165">
        <v>1.0</v>
      </c>
      <c r="D8" s="165">
        <v>2.0</v>
      </c>
      <c r="E8" s="165">
        <v>3.0</v>
      </c>
      <c r="F8" s="165">
        <v>4.0</v>
      </c>
      <c r="G8" s="165">
        <v>5.0</v>
      </c>
      <c r="H8" s="165">
        <v>6.0</v>
      </c>
      <c r="I8" s="165">
        <v>7.0</v>
      </c>
      <c r="J8" s="165">
        <v>8.0</v>
      </c>
      <c r="K8" s="165">
        <v>9.0</v>
      </c>
      <c r="L8" s="165">
        <v>10.0</v>
      </c>
      <c r="M8" s="165" t="s">
        <v>252</v>
      </c>
    </row>
    <row r="9" ht="15.75" customHeight="1">
      <c r="A9" s="166" t="s">
        <v>253</v>
      </c>
      <c r="B9" s="167">
        <f>IF(Data!D95="No",Data!C116,Data!D116)</f>
        <v>9996.152</v>
      </c>
      <c r="C9" s="167">
        <f>IF('Bull Model'!ModelYear&gt;'Bull Model'!EXP_CAP,"",B9+B23)</f>
        <v>15201.818</v>
      </c>
      <c r="D9" s="167">
        <f>IF('Bull Model'!ModelYear&gt;'Bull Model'!EXP_CAP,"",C9+C23)</f>
        <v>12263.39028</v>
      </c>
      <c r="E9" s="167">
        <f>IF('Bull Model'!ModelYear&gt;'Bull Model'!EXP_CAP,"",D9+D23)</f>
        <v>12747.41356</v>
      </c>
      <c r="F9" s="167">
        <f>IF('Bull Model'!ModelYear&gt;'Bull Model'!EXP_CAP,"",E9+E23)</f>
        <v>13845.31251</v>
      </c>
      <c r="G9" s="167">
        <f>IF('Bull Model'!ModelYear&gt;'Bull Model'!EXP_CAP,"",F9+F23)</f>
        <v>15359.94349</v>
      </c>
      <c r="H9" s="167">
        <f>IF('Bull Model'!ModelYear&gt;'Bull Model'!EXP_CAP,"",G9+G23)</f>
        <v>17174.52925</v>
      </c>
      <c r="I9" s="167">
        <f>IF('Bull Model'!ModelYear&gt;'Bull Model'!EXP_CAP,"",H9+H23)</f>
        <v>18875.4093</v>
      </c>
      <c r="J9" s="167">
        <f>IF('Bull Model'!ModelYear&gt;'Bull Model'!EXP_CAP,"",I9+I23)</f>
        <v>20174.59564</v>
      </c>
      <c r="K9" s="167" t="str">
        <f>IF('Bull Model'!ModelYear&gt;'Bull Model'!EXP_CAP,"",J9+J23)</f>
        <v/>
      </c>
      <c r="L9" s="167" t="str">
        <f>IF('Bull Model'!ModelYear&gt;'Bull Model'!EXP_CAP,"",K9+K23)</f>
        <v/>
      </c>
      <c r="M9" s="55"/>
    </row>
    <row r="10" ht="15.75" customHeight="1">
      <c r="A10" s="166" t="s">
        <v>254</v>
      </c>
      <c r="B10" s="55"/>
      <c r="C10" s="168">
        <f>IF('Bull Model'!ModelYear&gt;'Bull Model'!EXP_CAP,"",C11/B11-1)</f>
        <v>-0.8465606172</v>
      </c>
      <c r="D10" s="168">
        <f>IF('Bull Model'!ModelYear&gt;'Bull Model'!EXP_CAP,"",D11/C11-1)</f>
        <v>-0.1915791131</v>
      </c>
      <c r="E10" s="168">
        <f>IF('Bull Model'!ModelYear&gt;'Bull Model'!EXP_CAP,"",E11/D11-1)</f>
        <v>1.049693281</v>
      </c>
      <c r="F10" s="168">
        <f>IF('Bull Model'!ModelYear&gt;'Bull Model'!EXP_CAP,"",F11/E11-1)</f>
        <v>0.9507811406</v>
      </c>
      <c r="G10" s="168">
        <f>IF('Bull Model'!ModelYear&gt;'Bull Model'!EXP_CAP,"",G11/F11-1)</f>
        <v>0.6539422022</v>
      </c>
      <c r="H10" s="168">
        <f>IF('Bull Model'!ModelYear&gt;'Bull Model'!EXP_CAP,"",H11/G11-1)</f>
        <v>0.375382844</v>
      </c>
      <c r="I10" s="168">
        <f>IF('Bull Model'!ModelYear&gt;'Bull Model'!EXP_CAP,"",I11/H11-1)</f>
        <v>0.197078577</v>
      </c>
      <c r="J10" s="168">
        <f>IF('Bull Model'!ModelYear&gt;'Bull Model'!EXP_CAP,"",J11/I11-1)</f>
        <v>0.06684057508</v>
      </c>
      <c r="K10" s="168" t="str">
        <f>IF('Bull Model'!ModelYear&gt;'Bull Model'!EXP_CAP,"",K11/J11-1)</f>
        <v/>
      </c>
      <c r="L10" s="168" t="str">
        <f>IF('Bull Model'!ModelYear&gt;'Bull Model'!EXP_CAP,"",L11/K11-1)</f>
        <v/>
      </c>
      <c r="M10" s="168">
        <f>M11/INDIRECT(ADDRESS(ROW(A11),'Bull Model'!EXP_CAP+2))-1</f>
        <v>0.03</v>
      </c>
    </row>
    <row r="11" ht="15.75" customHeight="1">
      <c r="A11" s="64" t="s">
        <v>255</v>
      </c>
      <c r="B11" s="169">
        <f>Data!C7</f>
        <v>25004.03</v>
      </c>
      <c r="C11" s="169">
        <f>IF('Bull Model'!ModelYear&gt;'Bull Model'!EXP_CAP,"",C16/C12)</f>
        <v>3836.602932</v>
      </c>
      <c r="D11" s="169">
        <f>IF('Bull Model'!ModelYear&gt;'Bull Model'!EXP_CAP,"",D16/D12)</f>
        <v>3101.589945</v>
      </c>
      <c r="E11" s="169">
        <f>IF('Bull Model'!ModelYear&gt;'Bull Model'!EXP_CAP,"",E16/E12)</f>
        <v>6357.30807</v>
      </c>
      <c r="F11" s="169">
        <f>IF('Bull Model'!ModelYear&gt;'Bull Model'!EXP_CAP,"",F16/F12)</f>
        <v>12401.71669</v>
      </c>
      <c r="G11" s="169">
        <f>IF('Bull Model'!ModelYear&gt;'Bull Model'!EXP_CAP,"",G16/G12)</f>
        <v>20511.72261</v>
      </c>
      <c r="H11" s="169">
        <f>IF('Bull Model'!ModelYear&gt;'Bull Model'!EXP_CAP,"",H16/H12)</f>
        <v>28211.47138</v>
      </c>
      <c r="I11" s="169">
        <f>IF('Bull Model'!ModelYear&gt;'Bull Model'!EXP_CAP,"",I16/I12)</f>
        <v>33771.34801</v>
      </c>
      <c r="J11" s="169">
        <f>IF('Bull Model'!ModelYear&gt;'Bull Model'!EXP_CAP,"",J16/J12)</f>
        <v>36028.64433</v>
      </c>
      <c r="K11" s="169" t="str">
        <f>IF('Bull Model'!ModelYear&gt;'Bull Model'!EXP_CAP,"",K16/K12)</f>
        <v/>
      </c>
      <c r="L11" s="169" t="str">
        <f>IF('Bull Model'!ModelYear&gt;'Bull Model'!EXP_CAP,"",L16/L12)</f>
        <v/>
      </c>
      <c r="M11" s="169">
        <f>M16/M12</f>
        <v>37109.50366</v>
      </c>
    </row>
    <row r="12" ht="15.75" customHeight="1">
      <c r="A12" s="170" t="s">
        <v>256</v>
      </c>
      <c r="B12" s="168">
        <f>B16/B11</f>
        <v>0.2809825456</v>
      </c>
      <c r="C12" s="171">
        <f>B12*0.9</f>
        <v>0.2528842911</v>
      </c>
      <c r="D12" s="172">
        <f t="shared" ref="D12:J12" si="1">C12</f>
        <v>0.2528842911</v>
      </c>
      <c r="E12" s="172">
        <f t="shared" si="1"/>
        <v>0.2528842911</v>
      </c>
      <c r="F12" s="172">
        <f t="shared" si="1"/>
        <v>0.2528842911</v>
      </c>
      <c r="G12" s="172">
        <f t="shared" si="1"/>
        <v>0.2528842911</v>
      </c>
      <c r="H12" s="172">
        <f t="shared" si="1"/>
        <v>0.2528842911</v>
      </c>
      <c r="I12" s="172">
        <f t="shared" si="1"/>
        <v>0.2528842911</v>
      </c>
      <c r="J12" s="172">
        <f t="shared" si="1"/>
        <v>0.2528842911</v>
      </c>
      <c r="K12" s="172"/>
      <c r="L12" s="172"/>
      <c r="M12" s="172">
        <f>D12</f>
        <v>0.2528842911</v>
      </c>
    </row>
    <row r="13" ht="15.75" customHeight="1">
      <c r="A13" s="166" t="s">
        <v>257</v>
      </c>
      <c r="B13" s="173"/>
      <c r="C13" s="174">
        <v>0.285</v>
      </c>
      <c r="D13" s="174">
        <v>0.285</v>
      </c>
      <c r="E13" s="174">
        <v>0.31</v>
      </c>
      <c r="F13" s="174">
        <v>0.33</v>
      </c>
      <c r="G13" s="174">
        <v>0.34</v>
      </c>
      <c r="H13" s="174">
        <v>0.35</v>
      </c>
      <c r="I13" s="174">
        <v>0.36</v>
      </c>
      <c r="J13" s="174">
        <v>0.35</v>
      </c>
      <c r="K13" s="175"/>
      <c r="L13" s="175"/>
      <c r="M13" s="116"/>
    </row>
    <row r="14" ht="15.75" customHeight="1">
      <c r="A14" s="166" t="s">
        <v>258</v>
      </c>
      <c r="B14" s="170"/>
      <c r="C14" s="174">
        <v>0.285</v>
      </c>
      <c r="D14" s="174">
        <v>0.285</v>
      </c>
      <c r="E14" s="174">
        <v>0.31</v>
      </c>
      <c r="F14" s="174">
        <v>0.33</v>
      </c>
      <c r="G14" s="174">
        <v>0.34</v>
      </c>
      <c r="H14" s="174">
        <v>0.35</v>
      </c>
      <c r="I14" s="174">
        <v>0.36</v>
      </c>
      <c r="J14" s="174">
        <v>0.35</v>
      </c>
      <c r="K14" s="175"/>
      <c r="L14" s="175"/>
      <c r="M14" s="116"/>
    </row>
    <row r="15" ht="15.75" customHeight="1">
      <c r="A15" s="176" t="s">
        <v>259</v>
      </c>
      <c r="B15" s="177"/>
      <c r="C15" s="178">
        <f>IF('Bull Model'!ModelYear&gt;'Bull Model'!EXP_CAP,"",C13*B24+(C14-B19)/C14)</f>
        <v>-0.8619045554</v>
      </c>
      <c r="D15" s="178">
        <f>IF('Bull Model'!ModelYear&gt;'Bull Model'!EXP_CAP,"",D13*C24+(D14-C19)/D14)</f>
        <v>-0.1915791131</v>
      </c>
      <c r="E15" s="178">
        <f>IF('Bull Model'!ModelYear&gt;'Bull Model'!EXP_CAP,"",E13*D24+(E14-D19)/E14)</f>
        <v>1.049693281</v>
      </c>
      <c r="F15" s="178">
        <f>IF('Bull Model'!ModelYear&gt;'Bull Model'!EXP_CAP,"",F13*E24+(F14-E19)/F14)</f>
        <v>0.9507811406</v>
      </c>
      <c r="G15" s="178">
        <f>IF('Bull Model'!ModelYear&gt;'Bull Model'!EXP_CAP,"",G13*F24+(G14-F19)/G14)</f>
        <v>0.6539422022</v>
      </c>
      <c r="H15" s="178">
        <f>IF('Bull Model'!ModelYear&gt;'Bull Model'!EXP_CAP,"",H13*G24+(H14-G19)/H14)</f>
        <v>0.375382844</v>
      </c>
      <c r="I15" s="178">
        <f>IF('Bull Model'!ModelYear&gt;'Bull Model'!EXP_CAP,"",I13*H24+(I14-H19)/I14)</f>
        <v>0.197078577</v>
      </c>
      <c r="J15" s="178">
        <f>IF('Bull Model'!ModelYear&gt;'Bull Model'!EXP_CAP,"",J13*I24+(J14-I19)/J14)</f>
        <v>0.06684057508</v>
      </c>
      <c r="K15" s="178" t="str">
        <f>IF('Bull Model'!ModelYear&gt;'Bull Model'!EXP_CAP,"",K13*J24+(K14-J19)/K14)</f>
        <v/>
      </c>
      <c r="L15" s="178" t="str">
        <f>IF('Bull Model'!ModelYear&gt;'Bull Model'!EXP_CAP,"",L13*K24+(L14-K19)/L14)</f>
        <v/>
      </c>
      <c r="M15" s="178">
        <f>'Bull Model'!Terminal_EbitGrowth</f>
        <v>0.03</v>
      </c>
    </row>
    <row r="16" ht="15.75" customHeight="1">
      <c r="A16" s="64" t="s">
        <v>260</v>
      </c>
      <c r="B16" s="169">
        <f>IF(Data!D95="No",Data!C112,Data!D112)</f>
        <v>7025.696</v>
      </c>
      <c r="C16" s="169">
        <f>IF('Bull Model'!ModelYear&gt;'Bull Model'!EXP_CAP,"",B16*(1+'Bull Model'!Model_EbitGrowth))</f>
        <v>970.2166125</v>
      </c>
      <c r="D16" s="169">
        <f>IF('Bull Model'!ModelYear&gt;'Bull Model'!EXP_CAP,"",C16*(1+'Bull Model'!Model_EbitGrowth))</f>
        <v>784.3433743</v>
      </c>
      <c r="E16" s="169">
        <f>IF('Bull Model'!ModelYear&gt;'Bull Model'!EXP_CAP,"",D16*(1+'Bull Model'!Model_EbitGrowth))</f>
        <v>1607.663344</v>
      </c>
      <c r="F16" s="169">
        <f>IF('Bull Model'!ModelYear&gt;'Bull Model'!EXP_CAP,"",E16*(1+'Bull Model'!Model_EbitGrowth))</f>
        <v>3136.199332</v>
      </c>
      <c r="G16" s="169">
        <f>IF('Bull Model'!ModelYear&gt;'Bull Model'!EXP_CAP,"",F16*(1+'Bull Model'!Model_EbitGrowth))</f>
        <v>5187.09243</v>
      </c>
      <c r="H16" s="169">
        <f>IF('Bull Model'!ModelYear&gt;'Bull Model'!EXP_CAP,"",G16*(1+'Bull Model'!Model_EbitGrowth))</f>
        <v>7134.237939</v>
      </c>
      <c r="I16" s="169">
        <f>IF('Bull Model'!ModelYear&gt;'Bull Model'!EXP_CAP,"",H16*(1+'Bull Model'!Model_EbitGrowth))</f>
        <v>8540.243399</v>
      </c>
      <c r="J16" s="169">
        <f>IF('Bull Model'!ModelYear&gt;'Bull Model'!EXP_CAP,"",I16*(1+'Bull Model'!Model_EbitGrowth))</f>
        <v>9111.07818</v>
      </c>
      <c r="K16" s="169" t="str">
        <f>IF('Bull Model'!ModelYear&gt;'Bull Model'!EXP_CAP,"",J16*(1+'Bull Model'!Model_EbitGrowth))</f>
        <v/>
      </c>
      <c r="L16" s="169" t="str">
        <f>IF('Bull Model'!ModelYear&gt;'Bull Model'!EXP_CAP,"",K16*(1+'Bull Model'!Model_EbitGrowth))</f>
        <v/>
      </c>
      <c r="M16" s="169">
        <f>INDIRECT(ADDRESS(ROW(A16),'Bull Model'!EXP_CAP+2))*(1+'Bull Model'!Terminal_EbitGrowth)</f>
        <v>9384.410525</v>
      </c>
    </row>
    <row r="17" ht="15.75" customHeight="1">
      <c r="A17" s="166" t="s">
        <v>261</v>
      </c>
      <c r="B17" s="168">
        <f>Data!F58</f>
        <v>0.146951567</v>
      </c>
      <c r="C17" s="171">
        <v>0.135</v>
      </c>
      <c r="D17" s="171">
        <v>0.15</v>
      </c>
      <c r="E17" s="171">
        <v>0.165</v>
      </c>
      <c r="F17" s="171">
        <v>0.18</v>
      </c>
      <c r="G17" s="171">
        <v>0.195</v>
      </c>
      <c r="H17" s="171">
        <v>0.21</v>
      </c>
      <c r="I17" s="171">
        <v>0.225</v>
      </c>
      <c r="J17" s="171">
        <v>0.24</v>
      </c>
      <c r="K17" s="172"/>
      <c r="L17" s="172"/>
      <c r="M17" s="168">
        <f>Data!D57</f>
        <v>0.25</v>
      </c>
    </row>
    <row r="18" ht="15.75" customHeight="1">
      <c r="A18" s="179" t="s">
        <v>147</v>
      </c>
      <c r="B18" s="180">
        <f>IF(Data!D95="No",Data!C114,Data!D114)</f>
        <v>6007.905038</v>
      </c>
      <c r="C18" s="180">
        <f>IF('Bull Model'!ModelYear&gt;'Bull Model'!EXP_CAP,"",C16*(1-C17))</f>
        <v>839.2373698</v>
      </c>
      <c r="D18" s="180">
        <f>IF('Bull Model'!ModelYear&gt;'Bull Model'!EXP_CAP,"",D16*(1-D17))</f>
        <v>666.6918681</v>
      </c>
      <c r="E18" s="180">
        <f>IF('Bull Model'!ModelYear&gt;'Bull Model'!EXP_CAP,"",E16*(1-E17))</f>
        <v>1342.398892</v>
      </c>
      <c r="F18" s="180">
        <f>IF('Bull Model'!ModelYear&gt;'Bull Model'!EXP_CAP,"",F16*(1-F17))</f>
        <v>2571.683452</v>
      </c>
      <c r="G18" s="180">
        <f>IF('Bull Model'!ModelYear&gt;'Bull Model'!EXP_CAP,"",G16*(1-G17))</f>
        <v>4175.609406</v>
      </c>
      <c r="H18" s="180">
        <f>IF('Bull Model'!ModelYear&gt;'Bull Model'!EXP_CAP,"",H16*(1-H17))</f>
        <v>5636.047972</v>
      </c>
      <c r="I18" s="180">
        <f>IF('Bull Model'!ModelYear&gt;'Bull Model'!EXP_CAP,"",I16*(1-I17))</f>
        <v>6618.688635</v>
      </c>
      <c r="J18" s="180">
        <f>IF('Bull Model'!ModelYear&gt;'Bull Model'!EXP_CAP,"",J16*(1-J17))</f>
        <v>6924.419416</v>
      </c>
      <c r="K18" s="180" t="str">
        <f>IF('Bull Model'!ModelYear&gt;'Bull Model'!EXP_CAP,"",K16*(1-K17))</f>
        <v/>
      </c>
      <c r="L18" s="180" t="str">
        <f>IF('Bull Model'!ModelYear&gt;'Bull Model'!EXP_CAP,"",L16*(1-L17))</f>
        <v/>
      </c>
      <c r="M18" s="180">
        <f>M16*(1-M17)</f>
        <v>7038.307894</v>
      </c>
    </row>
    <row r="19" ht="15.75" customHeight="1">
      <c r="A19" s="170" t="s">
        <v>174</v>
      </c>
      <c r="B19" s="168">
        <f>B18/B9</f>
        <v>0.601021777</v>
      </c>
      <c r="C19" s="168">
        <f>IF('Bull Model'!ModelYear&gt;'Bull Model'!EXP_CAP,"",C18/C9)</f>
        <v>0.05520638188</v>
      </c>
      <c r="D19" s="168">
        <f>IF('Bull Model'!ModelYear&gt;'Bull Model'!EXP_CAP,"",D18/D9)</f>
        <v>0.05436440112</v>
      </c>
      <c r="E19" s="168">
        <f>IF('Bull Model'!ModelYear&gt;'Bull Model'!EXP_CAP,"",E18/E9)</f>
        <v>0.1053075501</v>
      </c>
      <c r="F19" s="168">
        <f>IF('Bull Model'!ModelYear&gt;'Bull Model'!EXP_CAP,"",F18/F9)</f>
        <v>0.1857439802</v>
      </c>
      <c r="G19" s="168">
        <f>IF('Bull Model'!ModelYear&gt;'Bull Model'!EXP_CAP,"",G18/G9)</f>
        <v>0.2718505708</v>
      </c>
      <c r="H19" s="168">
        <f>IF('Bull Model'!ModelYear&gt;'Bull Model'!EXP_CAP,"",H18/H9)</f>
        <v>0.3281631705</v>
      </c>
      <c r="I19" s="168">
        <f>IF('Bull Model'!ModelYear&gt;'Bull Model'!EXP_CAP,"",I18/I9)</f>
        <v>0.3506513966</v>
      </c>
      <c r="J19" s="168">
        <f>IF('Bull Model'!ModelYear&gt;'Bull Model'!EXP_CAP,"",J18/J9)</f>
        <v>0.3432246941</v>
      </c>
      <c r="K19" s="168" t="str">
        <f>IF('Bull Model'!ModelYear&gt;'Bull Model'!EXP_CAP,"",K18/K9)</f>
        <v/>
      </c>
      <c r="L19" s="168" t="str">
        <f>IF('Bull Model'!ModelYear&gt;'Bull Model'!EXP_CAP,"",L18/L9)</f>
        <v/>
      </c>
      <c r="M19" s="168">
        <f>Dashboard!G37</f>
        <v>0.0975</v>
      </c>
    </row>
    <row r="20" ht="15.75" customHeight="1">
      <c r="A20" s="74" t="s">
        <v>241</v>
      </c>
      <c r="B20" s="181">
        <f>IF(Data!D95="No",Data!C121,Data!D121)</f>
        <v>674.006</v>
      </c>
      <c r="C20" s="182">
        <f t="shared" ref="C20:D20" si="2">B20*0.95</f>
        <v>640.3057</v>
      </c>
      <c r="D20" s="182">
        <f t="shared" si="2"/>
        <v>608.290415</v>
      </c>
      <c r="E20" s="182">
        <f t="shared" ref="E20:I20" si="3">D20*0.9</f>
        <v>547.4613735</v>
      </c>
      <c r="F20" s="182">
        <f t="shared" si="3"/>
        <v>492.7152362</v>
      </c>
      <c r="G20" s="182">
        <f t="shared" si="3"/>
        <v>443.4437125</v>
      </c>
      <c r="H20" s="182">
        <f t="shared" si="3"/>
        <v>399.0993413</v>
      </c>
      <c r="I20" s="182">
        <f t="shared" si="3"/>
        <v>359.1894072</v>
      </c>
      <c r="J20" s="183"/>
      <c r="K20" s="183"/>
      <c r="L20" s="184" t="str">
        <f>IF('Bull Model'!ModelYear&gt;='Bull Model'!EXP_CAP,"",L11*#REF!)</f>
        <v/>
      </c>
      <c r="M20" s="184"/>
    </row>
    <row r="21" ht="15.75" customHeight="1">
      <c r="A21" s="166" t="s">
        <v>167</v>
      </c>
      <c r="B21" s="185">
        <f>Data!C32</f>
        <v>4227.38</v>
      </c>
      <c r="C21" s="186">
        <f>IF('Bull Model'!ModelYear&gt;='Bull Model'!EXP_CAP,"",C11*$B$4)</f>
        <v>648.6465782</v>
      </c>
      <c r="D21" s="186">
        <f>IF('Bull Model'!ModelYear&gt;='Bull Model'!EXP_CAP,"",D11*$B$4)</f>
        <v>524.379442</v>
      </c>
      <c r="E21" s="186">
        <f>IF('Bull Model'!ModelYear&gt;='Bull Model'!EXP_CAP,"",E11*$B$4)</f>
        <v>1074.817019</v>
      </c>
      <c r="F21" s="186">
        <f>IF('Bull Model'!ModelYear&gt;='Bull Model'!EXP_CAP,"",F11*$B$4)</f>
        <v>2096.73277</v>
      </c>
      <c r="G21" s="186">
        <f>IF('Bull Model'!ModelYear&gt;='Bull Model'!EXP_CAP,"",G11*$B$4)</f>
        <v>3467.874815</v>
      </c>
      <c r="H21" s="186">
        <f>IF('Bull Model'!ModelYear&gt;='Bull Model'!EXP_CAP,"",H11*$B$4)</f>
        <v>4769.655526</v>
      </c>
      <c r="I21" s="186">
        <f>IF('Bull Model'!ModelYear&gt;='Bull Model'!EXP_CAP,"",I11*$B$4)</f>
        <v>5709.65245</v>
      </c>
      <c r="J21" s="186" t="str">
        <f>IF('Bull Model'!ModelYear&gt;='Bull Model'!EXP_CAP,"",J11*$B$4)</f>
        <v/>
      </c>
      <c r="K21" s="186" t="str">
        <f>IF('Bull Model'!ModelYear&gt;='Bull Model'!EXP_CAP,"",K11*$B$4)</f>
        <v/>
      </c>
      <c r="L21" s="187" t="str">
        <f>IF('Bull Model'!ModelYear&gt;='Bull Model'!EXP_CAP,"",L11*$B$4)</f>
        <v/>
      </c>
      <c r="M21" s="188"/>
    </row>
    <row r="22" ht="15.75" customHeight="1">
      <c r="A22" s="189" t="s">
        <v>168</v>
      </c>
      <c r="B22" s="190">
        <f>Data!C33</f>
        <v>4531.66</v>
      </c>
      <c r="C22" s="191">
        <f>IF('Bull Model'!ModelYear&gt;='Bull Model'!EXP_CAP,"",C21-B21)</f>
        <v>-3578.733422</v>
      </c>
      <c r="D22" s="191">
        <f>IF('Bull Model'!ModelYear&gt;='Bull Model'!EXP_CAP,"",D21-C21)</f>
        <v>-124.2671362</v>
      </c>
      <c r="E22" s="191">
        <f>IF('Bull Model'!ModelYear&gt;='Bull Model'!EXP_CAP,"",E21-D21)</f>
        <v>550.437577</v>
      </c>
      <c r="F22" s="191">
        <f>IF('Bull Model'!ModelYear&gt;='Bull Model'!EXP_CAP,"",F21-E21)</f>
        <v>1021.915751</v>
      </c>
      <c r="G22" s="191">
        <f>IF('Bull Model'!ModelYear&gt;='Bull Model'!EXP_CAP,"",G21-F21)</f>
        <v>1371.142045</v>
      </c>
      <c r="H22" s="191">
        <f>IF('Bull Model'!ModelYear&gt;='Bull Model'!EXP_CAP,"",H21-G21)</f>
        <v>1301.780711</v>
      </c>
      <c r="I22" s="191">
        <f>IF('Bull Model'!ModelYear&gt;='Bull Model'!EXP_CAP,"",I21-H21)</f>
        <v>939.9969237</v>
      </c>
      <c r="J22" s="191" t="str">
        <f>IF('Bull Model'!ModelYear&gt;='Bull Model'!EXP_CAP,"",J21-I21)</f>
        <v/>
      </c>
      <c r="K22" s="191" t="str">
        <f>IF('Bull Model'!ModelYear&gt;='Bull Model'!EXP_CAP,"",K21-J21)</f>
        <v/>
      </c>
      <c r="L22" s="192" t="str">
        <f>IF('Bull Model'!ModelYear&gt;='Bull Model'!EXP_CAP,"",L21-K21)</f>
        <v/>
      </c>
      <c r="M22" s="192"/>
    </row>
    <row r="23" ht="15.75" customHeight="1">
      <c r="A23" s="193" t="s">
        <v>170</v>
      </c>
      <c r="B23" s="181">
        <f>B20+B22</f>
        <v>5205.666</v>
      </c>
      <c r="C23" s="169">
        <f t="shared" ref="C23:K23" si="4">IF(C22="","",C20+C22)</f>
        <v>-2938.427722</v>
      </c>
      <c r="D23" s="169">
        <f t="shared" si="4"/>
        <v>484.0232788</v>
      </c>
      <c r="E23" s="169">
        <f t="shared" si="4"/>
        <v>1097.89895</v>
      </c>
      <c r="F23" s="169">
        <f t="shared" si="4"/>
        <v>1514.630987</v>
      </c>
      <c r="G23" s="169">
        <f t="shared" si="4"/>
        <v>1814.585758</v>
      </c>
      <c r="H23" s="169">
        <f t="shared" si="4"/>
        <v>1700.880052</v>
      </c>
      <c r="I23" s="169">
        <f t="shared" si="4"/>
        <v>1299.186331</v>
      </c>
      <c r="J23" s="169" t="str">
        <f t="shared" si="4"/>
        <v/>
      </c>
      <c r="K23" s="169" t="str">
        <f t="shared" si="4"/>
        <v/>
      </c>
      <c r="L23" s="184"/>
      <c r="M23" s="184"/>
    </row>
    <row r="24" ht="15.75" customHeight="1">
      <c r="A24" s="194" t="s">
        <v>262</v>
      </c>
      <c r="B24" s="168">
        <f>B23/B18</f>
        <v>0.866469421</v>
      </c>
      <c r="C24" s="195">
        <f>IF('Bull Model'!ModelYear&gt;'Bull Model'!EXP_CAP,"",IF(C22="",$M$15/C19,C23/C18))</f>
        <v>-3.501307053</v>
      </c>
      <c r="D24" s="195">
        <f>IF('Bull Model'!ModelYear&gt;'Bull Model'!EXP_CAP,"",IF(D22="",$M$15/D19,D23/D18))</f>
        <v>0.7260074735</v>
      </c>
      <c r="E24" s="195">
        <f>IF('Bull Model'!ModelYear&gt;'Bull Model'!EXP_CAP,"",IF(E22="",$M$15/E19,E23/E18))</f>
        <v>0.817863421</v>
      </c>
      <c r="F24" s="195">
        <f>IF('Bull Model'!ModelYear&gt;'Bull Model'!EXP_CAP,"",IF(F22="",$M$15/F19,F23/F18))</f>
        <v>0.5889647833</v>
      </c>
      <c r="G24" s="195">
        <f>IF('Bull Model'!ModelYear&gt;'Bull Model'!EXP_CAP,"",IF(G22="",$M$15/G19,G23/G18))</f>
        <v>0.4345678873</v>
      </c>
      <c r="H24" s="195">
        <f>IF('Bull Model'!ModelYear&gt;'Bull Model'!EXP_CAP,"",IF(H22="",$M$15/H19,H23/H18))</f>
        <v>0.3017859431</v>
      </c>
      <c r="I24" s="195">
        <f>IF('Bull Model'!ModelYear&gt;'Bull Model'!EXP_CAP,"",IF(I22="",$M$15/I19,I23/I18))</f>
        <v>0.1962905951</v>
      </c>
      <c r="J24" s="195">
        <f>IF('Bull Model'!ModelYear&gt;'Bull Model'!EXP_CAP,"",IF(J22="",$M$15/J19,J23/J18))</f>
        <v>0.0874062983</v>
      </c>
      <c r="K24" s="195" t="str">
        <f>IF('Bull Model'!ModelYear&gt;'Bull Model'!EXP_CAP,"",IF(K22="",$M$15/K19,K23/K18))</f>
        <v/>
      </c>
      <c r="L24" s="116"/>
      <c r="M24" s="196">
        <f>M15/M19</f>
        <v>0.3076923077</v>
      </c>
    </row>
    <row r="25" ht="15.75" customHeight="1">
      <c r="A25" s="197" t="s">
        <v>263</v>
      </c>
      <c r="B25" s="198">
        <f>B18-(B20+B22)</f>
        <v>802.2390384</v>
      </c>
      <c r="C25" s="199">
        <f>IF('Bull Model'!ModelYear&gt;'Bull Model'!EXP_CAP,"",IF('Bull Model'!ModelYear='Bull Model'!EXP_CAP,'Bull Model'!Model_NOPAT*(1-C24),'Bull Model'!Model_NOPAT-C23))</f>
        <v>3777.665092</v>
      </c>
      <c r="D25" s="199">
        <f>IF('Bull Model'!ModelYear&gt;'Bull Model'!EXP_CAP,"",IF('Bull Model'!ModelYear='Bull Model'!EXP_CAP,'Bull Model'!Model_NOPAT*(1-D24),'Bull Model'!Model_NOPAT-D23))</f>
        <v>182.6685893</v>
      </c>
      <c r="E25" s="199">
        <f>IF('Bull Model'!ModelYear&gt;'Bull Model'!EXP_CAP,"",IF('Bull Model'!ModelYear='Bull Model'!EXP_CAP,'Bull Model'!Model_NOPAT*(1-E24),'Bull Model'!Model_NOPAT-E23))</f>
        <v>244.499942</v>
      </c>
      <c r="F25" s="199">
        <f>IF('Bull Model'!ModelYear&gt;'Bull Model'!EXP_CAP,"",IF('Bull Model'!ModelYear='Bull Model'!EXP_CAP,'Bull Model'!Model_NOPAT*(1-F24),'Bull Model'!Model_NOPAT-F23))</f>
        <v>1057.052465</v>
      </c>
      <c r="G25" s="199">
        <f>IF('Bull Model'!ModelYear&gt;'Bull Model'!EXP_CAP,"",IF('Bull Model'!ModelYear='Bull Model'!EXP_CAP,'Bull Model'!Model_NOPAT*(1-G24),'Bull Model'!Model_NOPAT-G23))</f>
        <v>2361.023649</v>
      </c>
      <c r="H25" s="199">
        <f>IF('Bull Model'!ModelYear&gt;'Bull Model'!EXP_CAP,"",IF('Bull Model'!ModelYear='Bull Model'!EXP_CAP,'Bull Model'!Model_NOPAT*(1-H24),'Bull Model'!Model_NOPAT-H23))</f>
        <v>3935.167919</v>
      </c>
      <c r="I25" s="199">
        <f>IF('Bull Model'!ModelYear&gt;'Bull Model'!EXP_CAP,"",IF('Bull Model'!ModelYear='Bull Model'!EXP_CAP,'Bull Model'!Model_NOPAT*(1-I24),'Bull Model'!Model_NOPAT-I23))</f>
        <v>5319.502304</v>
      </c>
      <c r="J25" s="199">
        <f>IF('Bull Model'!ModelYear&gt;'Bull Model'!EXP_CAP,"",IF('Bull Model'!ModelYear='Bull Model'!EXP_CAP,'Bull Model'!Model_NOPAT*(1-J24),'Bull Model'!Model_NOPAT-J23))</f>
        <v>6319.181547</v>
      </c>
      <c r="K25" s="199" t="str">
        <f>IF('Bull Model'!ModelYear&gt;'Bull Model'!EXP_CAP,"",IF('Bull Model'!ModelYear='Bull Model'!EXP_CAP,'Bull Model'!Model_NOPAT*(1-K24),'Bull Model'!Model_NOPAT-K23))</f>
        <v/>
      </c>
      <c r="L25" s="199" t="str">
        <f>IF('Bull Model'!ModelYear&gt;'Bull Model'!EXP_CAP,"",IF('Bull Model'!ModelYear='Bull Model'!EXP_CAP,'Bull Model'!Model_NOPAT*(1-L24),'Bull Model'!Model_NOPAT-L23))</f>
        <v/>
      </c>
      <c r="M25" s="200">
        <f>M18*(1-M24)</f>
        <v>4872.674696</v>
      </c>
    </row>
    <row r="26" ht="15.75" customHeight="1">
      <c r="A26" s="166" t="s">
        <v>264</v>
      </c>
      <c r="B26" s="55"/>
      <c r="C26" s="168">
        <f>discount_rate('Bull Model'!EXP_Wacc,'Bull Model'!Terminal_Wacc,C8,'Bull Model'!EXP_CAP,$J5)</f>
        <v>0.075</v>
      </c>
      <c r="D26" s="168">
        <f>discount_rate('Bull Model'!EXP_Wacc,'Bull Model'!Terminal_Wacc,D8,'Bull Model'!EXP_CAP,$J5)</f>
        <v>0.075</v>
      </c>
      <c r="E26" s="168">
        <f>discount_rate('Bull Model'!EXP_Wacc,'Bull Model'!Terminal_Wacc,E8,'Bull Model'!EXP_CAP,$J5)</f>
        <v>0.075</v>
      </c>
      <c r="F26" s="168">
        <f>discount_rate('Bull Model'!EXP_Wacc,'Bull Model'!Terminal_Wacc,F8,'Bull Model'!EXP_CAP,$J5)</f>
        <v>0.075</v>
      </c>
      <c r="G26" s="168">
        <f>discount_rate('Bull Model'!EXP_Wacc,'Bull Model'!Terminal_Wacc,G8,'Bull Model'!EXP_CAP,$J5)</f>
        <v>0.080625</v>
      </c>
      <c r="H26" s="168">
        <f>discount_rate('Bull Model'!EXP_Wacc,'Bull Model'!Terminal_Wacc,H8,'Bull Model'!EXP_CAP,$J5)</f>
        <v>0.08625</v>
      </c>
      <c r="I26" s="168">
        <f>discount_rate('Bull Model'!EXP_Wacc,'Bull Model'!Terminal_Wacc,I8,'Bull Model'!EXP_CAP,$J5)</f>
        <v>0.091875</v>
      </c>
      <c r="J26" s="168">
        <f>discount_rate('Bull Model'!EXP_Wacc,'Bull Model'!Terminal_Wacc,J8,'Bull Model'!EXP_CAP,$J5)</f>
        <v>0.0975</v>
      </c>
      <c r="K26" s="168" t="str">
        <f>discount_rate('Bull Model'!EXP_Wacc,'Bull Model'!Terminal_Wacc,K8,'Bull Model'!EXP_CAP,$J5)</f>
        <v/>
      </c>
      <c r="L26" s="168" t="str">
        <f>discount_rate('Bull Model'!EXP_Wacc,'Bull Model'!Terminal_Wacc,L8,'Bull Model'!EXP_CAP,$J5)</f>
        <v/>
      </c>
      <c r="M26" s="168">
        <f>'Bull Model'!Terminal_Wacc</f>
        <v>0.0975</v>
      </c>
    </row>
    <row r="27" ht="15.75" customHeight="1">
      <c r="A27" s="201" t="s">
        <v>265</v>
      </c>
      <c r="B27" s="202"/>
      <c r="C27" s="196">
        <f>IF('Bull Model'!ModelYear&gt;'Bull Model'!EXP_CAP,"",1+C26)</f>
        <v>1.075</v>
      </c>
      <c r="D27" s="196">
        <f>IF('Bull Model'!ModelYear&gt;'Bull Model'!EXP_CAP,"",(1+C26)*(1+D26))</f>
        <v>1.155625</v>
      </c>
      <c r="E27" s="196">
        <f>IF('Bull Model'!ModelYear&gt;'Bull Model'!EXP_CAP,"",(1+C26)*(1+D26)*(1+E26))</f>
        <v>1.242296875</v>
      </c>
      <c r="F27" s="196">
        <f>IF('Bull Model'!ModelYear&gt;'Bull Model'!EXP_CAP,"",(1+C26)*(1+D26)*(1+E26)*(1+F26))</f>
        <v>1.335469141</v>
      </c>
      <c r="G27" s="196">
        <f>IF('Bull Model'!ModelYear&gt;'Bull Model'!EXP_CAP,"",(1+C26)*(1+D26)*(1+E26)*(1+F26)*(1+G26))</f>
        <v>1.44314134</v>
      </c>
      <c r="H27" s="196">
        <f>IF('Bull Model'!ModelYear&gt;'Bull Model'!EXP_CAP,"",(1+C26)*(1+D26)*(1+E26)*(1+F26)*(1+G26)*(1+H26))</f>
        <v>1.567612281</v>
      </c>
      <c r="I27" s="196">
        <f>IF('Bull Model'!ModelYear&gt;'Bull Model'!EXP_CAP,"",(1+C26)*(1+D26)*(1+E26)*(1+F26)*(1+G26)*(1+H26)*(1+I26))</f>
        <v>1.711636659</v>
      </c>
      <c r="J27" s="196">
        <f>IF('Bull Model'!ModelYear&gt;'Bull Model'!EXP_CAP,"",(1+C26)*(1+D26)*(1+E26)*(1+F26)*(1+G26)*(1+H26)*(1+I26)*(1+J26))</f>
        <v>1.878521233</v>
      </c>
      <c r="K27" s="196" t="str">
        <f>IF('Bull Model'!ModelYear&gt;'Bull Model'!EXP_CAP,"",(1+C26)*(1+D26)*(1+E26)*(1+F26)*(1+G26)*(1+H26)*(1+I26)*(1+J26)*(1+K26))</f>
        <v/>
      </c>
      <c r="L27" s="196" t="str">
        <f>IF('Bull Model'!ModelYear&gt;'Bull Model'!EXP_CAP,"",(1+C26)*(1+D26)*(1+E26)*(1+F26)*(1+G26)*(1+H26)*(1+I26)*(1+J26)*(1+K26)*(1+L26))</f>
        <v/>
      </c>
      <c r="M27" s="203"/>
    </row>
    <row r="28" ht="15.75" customHeight="1">
      <c r="A28" s="204" t="s">
        <v>266</v>
      </c>
      <c r="B28" s="205"/>
      <c r="C28" s="200">
        <f>IF('Bull Model'!ModelYear&gt;'Bull Model'!EXP_CAP,"",'Bull Model'!Model_FCFF/C27)</f>
        <v>3514.107062</v>
      </c>
      <c r="D28" s="200">
        <f>IF('Bull Model'!ModelYear&gt;'Bull Model'!EXP_CAP,"",'Bull Model'!Model_FCFF/D27)</f>
        <v>158.0690876</v>
      </c>
      <c r="E28" s="200">
        <f>IF('Bull Model'!ModelYear&gt;'Bull Model'!EXP_CAP,"",'Bull Model'!Model_FCFF/E27)</f>
        <v>196.8128125</v>
      </c>
      <c r="F28" s="200">
        <f>IF('Bull Model'!ModelYear&gt;'Bull Model'!EXP_CAP,"",'Bull Model'!Model_FCFF/F27)</f>
        <v>791.5214459</v>
      </c>
      <c r="G28" s="200">
        <f>IF('Bull Model'!ModelYear&gt;'Bull Model'!EXP_CAP,"",'Bull Model'!Model_FCFF/G27)</f>
        <v>1636.030777</v>
      </c>
      <c r="H28" s="200">
        <f>IF('Bull Model'!ModelYear&gt;'Bull Model'!EXP_CAP,"",'Bull Model'!Model_FCFF/H27)</f>
        <v>2510.294138</v>
      </c>
      <c r="I28" s="200">
        <f>IF('Bull Model'!ModelYear&gt;'Bull Model'!EXP_CAP,"",'Bull Model'!Model_FCFF/I27)</f>
        <v>3107.845509</v>
      </c>
      <c r="J28" s="200">
        <f>IF('Bull Model'!ModelYear&gt;'Bull Model'!EXP_CAP,"",'Bull Model'!Model_FCFF/J27)</f>
        <v>3363.912761</v>
      </c>
      <c r="K28" s="200" t="str">
        <f>IF('Bull Model'!ModelYear&gt;'Bull Model'!EXP_CAP,"",'Bull Model'!Model_FCFF/K27)</f>
        <v/>
      </c>
      <c r="L28" s="200" t="str">
        <f>IF('Bull Model'!ModelYear&gt;'Bull Model'!EXP_CAP,"",'Bull Model'!Model_FCFF/L27)</f>
        <v/>
      </c>
      <c r="M28" s="203"/>
    </row>
    <row r="29" ht="15.75" customHeight="1"/>
    <row r="30" ht="15.75" customHeight="1">
      <c r="A30" s="113" t="s">
        <v>267</v>
      </c>
      <c r="C30" s="64" t="s">
        <v>268</v>
      </c>
      <c r="D30" s="64" t="s">
        <v>269</v>
      </c>
    </row>
    <row r="31" ht="15.75" customHeight="1">
      <c r="A31" s="206" t="s">
        <v>270</v>
      </c>
      <c r="C31" s="168">
        <f>D31/D34</f>
        <v>0.2256562787</v>
      </c>
      <c r="D31" s="169">
        <f>SUM(C28:L28)</f>
        <v>15278.59359</v>
      </c>
    </row>
    <row r="32" ht="15.75" customHeight="1">
      <c r="A32" s="206" t="s">
        <v>271</v>
      </c>
      <c r="C32" s="168">
        <f>1-C31</f>
        <v>0.7743437213</v>
      </c>
      <c r="D32" s="169">
        <f>M25/('Bull Model'!Terminal_Wacc-'Bull Model'!Terminal_EbitGrowth)/IF('Bull Model'!EXP_CAP=0,1,INDIRECT(ADDRESS(ROW(A27),'Bull Model'!EXP_CAP+2)))</f>
        <v>38427.97834</v>
      </c>
    </row>
    <row r="33" ht="15.75" customHeight="1">
      <c r="A33" s="206" t="s">
        <v>272</v>
      </c>
      <c r="D33" s="169">
        <f>if(Data!D81="Yes",Data!D83,Data!D84)+Data!C23</f>
        <v>14000.8</v>
      </c>
    </row>
    <row r="34" ht="15.75" customHeight="1">
      <c r="A34" s="64" t="s">
        <v>273</v>
      </c>
      <c r="D34" s="200">
        <f>D31+D32+D33</f>
        <v>67707.37194</v>
      </c>
      <c r="E34" s="207"/>
    </row>
    <row r="35" ht="15.75" customHeight="1"/>
    <row r="36" ht="15.75" customHeight="1">
      <c r="A36" s="64" t="s">
        <v>274</v>
      </c>
      <c r="D36" s="169">
        <f>Data!D77</f>
        <v>180.07</v>
      </c>
    </row>
    <row r="37" ht="15.75" customHeight="1">
      <c r="A37" s="64" t="s">
        <v>275</v>
      </c>
      <c r="D37" s="208">
        <f>D34-D36</f>
        <v>67527.30194</v>
      </c>
      <c r="E37" s="37"/>
    </row>
    <row r="38" ht="15.75" customHeight="1">
      <c r="A38" s="64" t="s">
        <v>276</v>
      </c>
      <c r="D38" s="169">
        <f>Data!F87</f>
        <v>98.33</v>
      </c>
    </row>
    <row r="39" ht="15.75" customHeight="1">
      <c r="A39" s="64" t="s">
        <v>277</v>
      </c>
      <c r="D39" s="169">
        <f>Data!D78</f>
        <v>0</v>
      </c>
    </row>
    <row r="40" ht="15.75" customHeight="1">
      <c r="A40" s="64" t="s">
        <v>278</v>
      </c>
      <c r="D40" s="208">
        <f>D37-D38-D39</f>
        <v>67428.97194</v>
      </c>
      <c r="E40" s="37"/>
      <c r="F40" s="209" t="str">
        <f>Dashboard!C11</f>
        <v>CNY</v>
      </c>
    </row>
    <row r="41" ht="15.75" customHeight="1">
      <c r="A41" s="64" t="s">
        <v>279</v>
      </c>
      <c r="E41" s="210">
        <f>price_pershare(D40,Data!F3,Cs_Shares,Dashboard!C12)</f>
        <v>14.5514438</v>
      </c>
      <c r="F41" s="211" t="str">
        <f>Dashboard!D6</f>
        <v>CNY</v>
      </c>
    </row>
    <row r="42" ht="15.75" customHeight="1"/>
    <row r="43" ht="15.75" customHeight="1">
      <c r="A43" s="113" t="s">
        <v>280</v>
      </c>
      <c r="B43" s="64" t="s">
        <v>281</v>
      </c>
      <c r="D43" s="161" t="str">
        <f>F41</f>
        <v>CNY</v>
      </c>
      <c r="E43" s="161">
        <f>Dashboard!C6</f>
        <v>72.7</v>
      </c>
      <c r="F43" s="64" t="s">
        <v>282</v>
      </c>
      <c r="G43" s="212">
        <f>E43/E41-1</f>
        <v>3.996067812</v>
      </c>
      <c r="H43" s="64" t="str">
        <f>IF(G43&lt;0,"undervalued","overvalued") &amp; " by the market."</f>
        <v>overvalued by the market.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D38:E38"/>
    <mergeCell ref="D39:E39"/>
    <mergeCell ref="D40:E40"/>
    <mergeCell ref="A1:C1"/>
    <mergeCell ref="D31:E31"/>
    <mergeCell ref="D32:E32"/>
    <mergeCell ref="D33:E33"/>
    <mergeCell ref="D34:E34"/>
    <mergeCell ref="D36:E36"/>
    <mergeCell ref="D37:E37"/>
  </mergeCells>
  <dataValidations>
    <dataValidation type="list" allowBlank="1" sqref="B2">
      <formula1>"Base Case,Bear Case,Bull Case"</formula1>
    </dataValidation>
  </dataValidations>
  <drawing r:id="rId1"/>
</worksheet>
</file>