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sm" sheetId="2" r:id="rId5"/>
    <sheet state="visible" name="Data" sheetId="3" r:id="rId6"/>
    <sheet state="visible" name="Bear Model" sheetId="4" r:id="rId7"/>
    <sheet state="visible" name="Base Model" sheetId="5" r:id="rId8"/>
    <sheet state="visible" name="Bull Model" sheetId="6" r:id="rId9"/>
  </sheets>
  <definedNames>
    <definedName name="CashRange">Data!$S$6:$S$16</definedName>
    <definedName localSheetId="3" name="EXP_EbitGrowth">'Bear Model'!$C$5</definedName>
    <definedName name="NetCapexRange">Data!$X$6:$X$16</definedName>
    <definedName localSheetId="5" name="Terminal_Wacc">'Bull Model'!$G$7</definedName>
    <definedName name="CurrentAsset">Data!$N$6:$N$16</definedName>
    <definedName localSheetId="5" name="Model_FCFF">'Bull Model'!$C$24:$L$24</definedName>
    <definedName localSheetId="3" name="EXP_Reinvest">'Bear Model'!$C$6</definedName>
    <definedName localSheetId="3" name="Model_FCFF">'Bear Model'!$C$24:$L$24</definedName>
    <definedName name="Model_FCFF">'Base Model'!$C$24:$L$24</definedName>
    <definedName name="CurrentLiabilities">Data!$O$6:$O$16</definedName>
    <definedName name="Model_EbitGrowth">'Base Model'!$C$17:$L$17</definedName>
    <definedName localSheetId="3" name="Model_NOPAT">'Bear Model'!$C$20:$L$20</definedName>
    <definedName localSheetId="5" name="EXP_CAP">'Bull Model'!$K$5</definedName>
    <definedName name="MV_NonOpAssets">Data!$E$46</definedName>
    <definedName name="Terminal_Reinvest">'Base Model'!$G$6</definedName>
    <definedName localSheetId="3" name="Terminal_Wcsales">#REF!</definedName>
    <definedName localSheetId="3" name="EXP_Wcsales">#REF!</definedName>
    <definedName localSheetId="5" name="Model_NOPAT">'Bull Model'!$C$20:$L$20</definedName>
    <definedName name="WcInv">#REF!</definedName>
    <definedName localSheetId="5" name="Terminal_EbitGrowth">'Bull Model'!$G$5</definedName>
    <definedName name="ModelYear">'Base Model'!$C$10:$L$10</definedName>
    <definedName localSheetId="5" name="Terminal_Reinvest">'Bull Model'!$G$6</definedName>
    <definedName localSheetId="5" name="EXP_Reinvest">'Bull Model'!$C$6</definedName>
    <definedName name="Terminal_Wcsales">#REF!</definedName>
    <definedName name="DebtRange">Data!$P$6:$P$16</definedName>
    <definedName localSheetId="5" name="Model_EbitGrowth">'Bull Model'!$C$17:$L$17</definedName>
    <definedName localSheetId="5" name="EXP_Wacc">'Bull Model'!$C$7</definedName>
    <definedName name="EquityRange">Data!$Q$6:$Q$16</definedName>
    <definedName localSheetId="3" name="EXP_Wacc">'Bear Model'!$C$7</definedName>
    <definedName localSheetId="3" name="EXP_CAP">'Bear Model'!$K$5</definedName>
    <definedName localSheetId="5" name="ModelYear">'Bull Model'!$C$10:$L$10</definedName>
    <definedName name="EXP_CAP">'Base Model'!$K$5</definedName>
    <definedName name="EbitRange">Data!$E$6:$E$16</definedName>
    <definedName localSheetId="3" name="Model_EbitGrowth">'Bear Model'!$C$17:$L$17</definedName>
    <definedName name="Cs_Shares">Asm!$C$7</definedName>
    <definedName name="Terminal_EbitGrowth">'Base Model'!$G$5</definedName>
    <definedName localSheetId="3" name="Terminal_EbitGrowth">'Bear Model'!$G$5</definedName>
    <definedName name="Model_NOPAT">'Base Model'!$C$20:$L$20</definedName>
    <definedName name="EXP_EbitGrowth">'Base Model'!$C$5</definedName>
    <definedName localSheetId="5" name="EXP_EbitGrowth">'Bull Model'!$C$5</definedName>
    <definedName name="EXP_Reinvest">'Base Model'!$C$6</definedName>
    <definedName name="EXP_Wcsales">#REF!</definedName>
    <definedName localSheetId="3" name="Terminal_Reinvest">'Bear Model'!$G$6</definedName>
    <definedName name="Terminal_Wacc">'Base Model'!$G$7</definedName>
    <definedName name="EXP_Wacc">'Base Model'!$C$7</definedName>
    <definedName localSheetId="3" name="Terminal_Wacc">'Bear Model'!$G$7</definedName>
    <definedName localSheetId="5" name="EXP_Wcsales">#REF!</definedName>
    <definedName localSheetId="3" name="ModelYear">'Bear Model'!$C$10:$L$10</definedName>
    <definedName localSheetId="5" name="Terminal_Wcsale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I use high-yield bond spread premium as proxy:
4.5% for China
3% for US</t>
      </text>
    </comment>
    <comment authorId="0" ref="C27">
      <text>
        <t xml:space="preserve">6.75% for China
4.5% for US</t>
      </text>
    </comment>
    <comment authorId="0" ref="C30">
      <text>
        <t xml:space="preserve">Six Categories:
1. The Slow Growers,
2. The Stalwarts,
3. The Fast Growers,
4. The Cyclicals,
5. Turnarounds,
6. The Asset Plays</t>
      </text>
    </comment>
    <comment authorId="0" ref="B40">
      <text>
        <t xml:space="preserve">Reinvestment = Growth rate/ROC</t>
      </text>
    </comment>
    <comment authorId="0" ref="G41">
      <text>
        <t xml:space="preserve">Aswath Damodaran:
Enter one of the following:
1. Firm's own cost on capital, if competition will drive out excess returns. 
2. Firm's ROC during CAP, if those returns are sustainable in the long term.,
3. Industry average ROC, if you expect firm to approach industry norms</t>
      </text>
    </comment>
  </commentList>
</comments>
</file>

<file path=xl/comments2.xml><?xml version="1.0" encoding="utf-8"?>
<comments xmlns:r="http://schemas.openxmlformats.org/officeDocument/2006/relationships" xmlns="http://schemas.openxmlformats.org/spreadsheetml/2006/main">
  <authors>
    <author/>
  </authors>
  <commentList>
    <comment authorId="0" ref="I5">
      <text>
        <t xml:space="preserve">ROC After Tax = NOPAT/Operating Capital</t>
      </text>
    </comment>
    <comment authorId="0" ref="U5">
      <text>
        <t xml:space="preserve">Jerry:
includes Cash</t>
      </text>
    </comment>
    <comment authorId="0" ref="Z5">
      <text>
        <t xml:space="preserve">NON-Cash WC = Current Asset - Cash and Cash equivalent - NonInterest Bearing Current Liability</t>
      </text>
    </comment>
    <comment authorId="0" ref="AB5">
      <text>
        <t xml:space="preserve">Reinvestment Rate = (Net Capex + Change in WC)/NOPAT</t>
      </text>
    </comment>
    <comment authorId="0" ref="B18">
      <text>
        <t xml:space="preserve">Jerry:
These Adjustments would apply to all Scenarios.</t>
      </text>
    </comment>
    <comment authorId="0" ref="B55">
      <text>
        <t xml:space="preserve">P/E * Net income Attributed to MI</t>
      </text>
    </comment>
    <comment authorId="0" ref="B56">
      <text>
        <t xml:space="preserve">MI * (PB Ratio)</t>
      </text>
    </comment>
  </commentList>
</comments>
</file>

<file path=xl/comments3.xml><?xml version="1.0" encoding="utf-8"?>
<comments xmlns:r="http://schemas.openxmlformats.org/officeDocument/2006/relationships" xmlns="http://schemas.openxmlformats.org/spreadsheetml/2006/main">
  <authors>
    <author/>
  </authors>
  <commentList>
    <comment authorId="0" ref="E7">
      <text>
        <t xml:space="preserve">Typical mature companies usually have a Terminal Wacc =  riskfree rate + 4.5%</t>
      </text>
    </comment>
    <comment authorId="0" ref="A23">
      <text>
        <t xml:space="preserve">Reinvestment = Reinvestment Rate * NOPAT</t>
      </text>
    </comment>
    <comment authorId="0" ref="A24">
      <text>
        <t xml:space="preserve">FCFF = NOPAT - Net Capx - WCInv
FCFF = NOPAT - Reinvestment Rate * NOPAT + WCInv - WCInv
FCFF = NOPAT - Reinvestment Rate * NOPAT
FCFF = NOPAT - Reinvestment
Given:
Net Capex = Reinvestment Rate * NOPAT - WCInv
Reinvestment = Reinvestment Rate * NOPAT</t>
      </text>
    </comment>
  </commentList>
</comments>
</file>

<file path=xl/comments4.xml><?xml version="1.0" encoding="utf-8"?>
<comments xmlns:r="http://schemas.openxmlformats.org/officeDocument/2006/relationships" xmlns="http://schemas.openxmlformats.org/spreadsheetml/2006/main">
  <authors>
    <author/>
  </authors>
  <commentList>
    <comment authorId="0" ref="E7">
      <text>
        <t xml:space="preserve">Typical mature companies usually have a Terminal Wacc =  riskfree rate + 4.5%</t>
      </text>
    </comment>
    <comment authorId="0" ref="A23">
      <text>
        <t xml:space="preserve">Reinvestment = Reinvestment Rate * NOPAT</t>
      </text>
    </comment>
    <comment authorId="0" ref="A24">
      <text>
        <t xml:space="preserve">FCFF = NOPAT - Net Capx - WCInv
FCFF = NOPAT - Reinvestment Rate * NOPAT + WCInv - WCInv
FCFF = NOPAT - Reinvestment Rate * NOPAT
FCFF = NOPAT - Reinvestment
Given:
Net Capex = Reinvestment Rate * NOPAT - WCInv
Reinvestment = Reinvestment Rate * NOPAT</t>
      </text>
    </comment>
  </commentList>
</comments>
</file>

<file path=xl/comments5.xml><?xml version="1.0" encoding="utf-8"?>
<comments xmlns:r="http://schemas.openxmlformats.org/officeDocument/2006/relationships" xmlns="http://schemas.openxmlformats.org/spreadsheetml/2006/main">
  <authors>
    <author/>
  </authors>
  <commentList>
    <comment authorId="0" ref="E7">
      <text>
        <t xml:space="preserve">Typical mature companies usually have a Terminal Wacc =  riskfree rate + 4.5%</t>
      </text>
    </comment>
    <comment authorId="0" ref="A23">
      <text>
        <t xml:space="preserve">Reinvestment = Reinvestment Rate * NOPAT</t>
      </text>
    </comment>
    <comment authorId="0" ref="A24">
      <text>
        <t xml:space="preserve">FCFF = NOPAT - Net Capx - WCInv
FCFF = NOPAT - Reinvestment Rate * NOPAT + WCInv - WCInv
FCFF = NOPAT - Reinvestment Rate * NOPAT
FCFF = NOPAT - Reinvestment
Given:
Net Capex = Reinvestment Rate * NOPAT - WCInv
Reinvestment = Reinvestment Rate * NOPAT</t>
      </text>
    </comment>
  </commentList>
</comments>
</file>

<file path=xl/sharedStrings.xml><?xml version="1.0" encoding="utf-8"?>
<sst xmlns="http://schemas.openxmlformats.org/spreadsheetml/2006/main" count="441" uniqueCount="281">
  <si>
    <t>Valuation Output:</t>
  </si>
  <si>
    <t>EV of Euqity per share =</t>
  </si>
  <si>
    <t xml:space="preserve">Margin of Safety = </t>
  </si>
  <si>
    <t>EV after margin of safety =</t>
  </si>
  <si>
    <t xml:space="preserve">Estimated Win Rate = </t>
  </si>
  <si>
    <t xml:space="preserve">Optimal Allocation (Half-Kelly model)= </t>
  </si>
  <si>
    <t>Market Emotional Assessment:</t>
  </si>
  <si>
    <t>1. Economy:</t>
  </si>
  <si>
    <t>Cold - Sluggish</t>
  </si>
  <si>
    <t>2. Outlook:</t>
  </si>
  <si>
    <t>Cold - Negative</t>
  </si>
  <si>
    <t>3. Lenders:</t>
  </si>
  <si>
    <t>Cold - Reticent</t>
  </si>
  <si>
    <t>4. Capital markets:</t>
  </si>
  <si>
    <t>Cold - Tight</t>
  </si>
  <si>
    <t>5. Capital:</t>
  </si>
  <si>
    <t>Cold - Scarce</t>
  </si>
  <si>
    <t>6. Terms:</t>
  </si>
  <si>
    <t>Cold - Restrictive</t>
  </si>
  <si>
    <t>7. Interest rates:</t>
  </si>
  <si>
    <t>Hot - Low</t>
  </si>
  <si>
    <t>8. Yield Spreads:</t>
  </si>
  <si>
    <t>Cold - Wide</t>
  </si>
  <si>
    <t>9. Investors:</t>
  </si>
  <si>
    <t>Cold - Uninterested in buying</t>
  </si>
  <si>
    <t>10. Asset owners:</t>
  </si>
  <si>
    <t>Cold - Rushing for the exits</t>
  </si>
  <si>
    <t>11. Sellers:</t>
  </si>
  <si>
    <t>Cold - Many</t>
  </si>
  <si>
    <t>12. Markets:</t>
  </si>
  <si>
    <t>Cold - Starved for attention</t>
  </si>
  <si>
    <t>13. Funds:</t>
  </si>
  <si>
    <t>Cold - Only the best can raise money</t>
  </si>
  <si>
    <t>14. Recent performance:</t>
  </si>
  <si>
    <t>Cold - Weak</t>
  </si>
  <si>
    <t>15. Asset prices:</t>
  </si>
  <si>
    <t>Cold - Low</t>
  </si>
  <si>
    <t>16. Popular qualities:</t>
  </si>
  <si>
    <t>Cold - Caution and discipline</t>
  </si>
  <si>
    <t>Estimated Market Mood:</t>
  </si>
  <si>
    <t>Personal Emotional Assessment:</t>
  </si>
  <si>
    <t>1. Are you feeling very confident and happy? (Over Ranking or Illusion of Control)</t>
  </si>
  <si>
    <t>No</t>
  </si>
  <si>
    <t>2. Do you talk loudly about your idea and seek validation from outside? (Tunnel version or Confirmation Bias)</t>
  </si>
  <si>
    <t>3. Are you believing an outcome just because that’s the outcome you want? (Wishful thinking or Desirability Effect)</t>
  </si>
  <si>
    <t>Yes</t>
  </si>
  <si>
    <t>4. Are you attributing the success to good skill and the failure to bad luck? (Self-serving bias)</t>
  </si>
  <si>
    <t>5. Are you trying to invest becasue you or the market believe the economic and profit cycles are on the rise? (Herd Mentality)</t>
  </si>
  <si>
    <t>6.  Are you losing the patience because you found the ‘best investment idea’? (Restraint bias)</t>
  </si>
  <si>
    <t>Estimated Personal Mood:</t>
  </si>
  <si>
    <t>Company Info:</t>
  </si>
  <si>
    <t>Ticker:</t>
  </si>
  <si>
    <t>0303</t>
  </si>
  <si>
    <t>Ticker Name:</t>
  </si>
  <si>
    <t>Vtech</t>
  </si>
  <si>
    <t>Valuation Date:</t>
  </si>
  <si>
    <t>Listing Location:</t>
  </si>
  <si>
    <t>HK</t>
  </si>
  <si>
    <t>Current Price:</t>
  </si>
  <si>
    <t>Number of Shares:</t>
  </si>
  <si>
    <t>Capitalization:</t>
  </si>
  <si>
    <t>P/E Ratio:</t>
  </si>
  <si>
    <t>P/B Ratio:</t>
  </si>
  <si>
    <t>Reporting Currency:</t>
  </si>
  <si>
    <t>HKD</t>
  </si>
  <si>
    <t>Exchange Rate:</t>
  </si>
  <si>
    <t>Bear</t>
  </si>
  <si>
    <t>Base</t>
  </si>
  <si>
    <t>Bull</t>
  </si>
  <si>
    <t>Length of CAP =</t>
  </si>
  <si>
    <t>EBIT growth rate =</t>
  </si>
  <si>
    <t>Reinvestment Rate =</t>
  </si>
  <si>
    <t>After-Tax ROC =</t>
  </si>
  <si>
    <t>Implied P/E =</t>
  </si>
  <si>
    <t>Valuation Assumptions:</t>
  </si>
  <si>
    <t>Risk-free Rate</t>
  </si>
  <si>
    <t>Discount rate during CAP</t>
  </si>
  <si>
    <t>Discount rate after CAP</t>
  </si>
  <si>
    <t>1. Value Narratives given knowable information</t>
  </si>
  <si>
    <t>Business Category</t>
  </si>
  <si>
    <t>Traditional Consumer Products
Vtech有两大业务：电子产品及玩具。电子产品业务属于他Cyclical and slow grower, 玩具业务属于Faster Grower, 未来有可能成为The Stalwart。</t>
  </si>
  <si>
    <t>Base Case</t>
  </si>
  <si>
    <t>Stablely growing and Uniquely positioned consumer brand and product in China and HK</t>
  </si>
  <si>
    <t>Bear Case</t>
  </si>
  <si>
    <t>Declining and Uniquely positioned consumer brand and product in China and HK</t>
  </si>
  <si>
    <t>Bull Case</t>
  </si>
  <si>
    <t>Rapiadly growing and Uniquely positioned consumer brand and product in China and HK</t>
  </si>
  <si>
    <t>CAP</t>
  </si>
  <si>
    <t>Stable</t>
  </si>
  <si>
    <t>Value Drivers</t>
  </si>
  <si>
    <t>Base year</t>
  </si>
  <si>
    <t>Link to story</t>
  </si>
  <si>
    <t>Length of CAP</t>
  </si>
  <si>
    <t>Operating margin</t>
  </si>
  <si>
    <t>Ebit Growth</t>
  </si>
  <si>
    <t>After-tax Reinvestment Rate</t>
  </si>
  <si>
    <t>After-tax ROC</t>
  </si>
  <si>
    <t>Competitive enviroment analysis to estimate CAP</t>
  </si>
  <si>
    <t>Use the Porter's Five Forces Analysis to estimate the length of CAP</t>
  </si>
  <si>
    <t>To answer the below questions, Each force is ranked by Very High, High, Medium, Low, and Very Low:</t>
  </si>
  <si>
    <t>I.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</si>
  <si>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</si>
  <si>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</si>
  <si>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</si>
  <si>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</si>
  <si>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</si>
  <si>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</si>
  <si>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disagree</t>
  </si>
  <si>
    <t xml:space="preserve">5. There is no incumbency advantages independent of size. (like management skill etc) </t>
  </si>
  <si>
    <t>6. There are equal access to distribution channels.</t>
  </si>
  <si>
    <t>7. There is no restrictive government policy.</t>
  </si>
  <si>
    <t>8. There is little brand barriers. (like the trust in brands in food industry)</t>
  </si>
  <si>
    <t>II. Power of Suppliers =</t>
  </si>
  <si>
    <t>1. The supplier is more concentrated than the industry it sells to.</t>
  </si>
  <si>
    <t>2. The supplier group does not depends heavily on the industry for its revenues.</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</si>
  <si>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</si>
  <si>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</si>
  <si>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</si>
  <si>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</si>
  <si>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III.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</si>
  <si>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</si>
  <si>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</si>
  <si>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</si>
  <si>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</si>
  <si>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</si>
  <si>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</si>
  <si>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</si>
  <si>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unclear</t>
  </si>
  <si>
    <t>8. The industry’s product has little effect on the buyer’s other costs.</t>
  </si>
  <si>
    <t>IV. Threat of Substitutions =</t>
  </si>
  <si>
    <t>1. There is an unfavorable gap in the price or performance when compared.</t>
  </si>
  <si>
    <t>2. The buyer's cost of switching to the substitute is low.</t>
  </si>
  <si>
    <t>3. It's likely the substitutes will become very attractive in three to five years.</t>
  </si>
  <si>
    <t>agree</t>
  </si>
  <si>
    <t>V.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</si>
  <si>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</si>
  <si>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</si>
  <si>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</si>
  <si>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</si>
  <si>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</si>
  <si>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6. Products or services of rivals are nearly identical with few buyer switching costs.</t>
  </si>
  <si>
    <t>7. Fixed costs are high and marginal costs are low.</t>
  </si>
  <si>
    <t>8. Capacity must be expanded in large increments to be efficient.</t>
  </si>
  <si>
    <t>9. The product is perishable.</t>
  </si>
  <si>
    <t>Conclusion: the Industry Competition level is</t>
  </si>
  <si>
    <t>Length of the CAP suggested by the Porter's Five Forces</t>
  </si>
  <si>
    <t>Margin of Safety Recommendation</t>
  </si>
  <si>
    <t>PART I: Valuation Error</t>
  </si>
  <si>
    <t>1. Is the business simple and understandable?</t>
  </si>
  <si>
    <t>2. Does the company have low financial leverage?</t>
  </si>
  <si>
    <t>3.  Does the company have few error-probed valuation issues (like debt, MI, options, stocks) ?</t>
  </si>
  <si>
    <t>There is an assumed minimium 10% Valuation Error, and the maximium margin of safty is estimated to be</t>
  </si>
  <si>
    <t>PART II: Quality Score Multiplier</t>
  </si>
  <si>
    <t>a. Business Tenets:</t>
  </si>
  <si>
    <t>1. Does the company have a consistent operating history?</t>
  </si>
  <si>
    <t>2. Does the company have sustainable competitive advantages (aka, favorable long-term economics)?</t>
  </si>
  <si>
    <t>b. Financial Tenets:</t>
  </si>
  <si>
    <t>3. Are the profit margins attractive (better than industry)?</t>
  </si>
  <si>
    <t xml:space="preserve">4. Can current operations be maintained without too much needing to be spent? </t>
  </si>
  <si>
    <t>5. Can cash be reinvested at attractive compound rates?</t>
  </si>
  <si>
    <t>c. Market Tenets:</t>
  </si>
  <si>
    <t xml:space="preserve">6. Is the company free to adjust prices to inflation? </t>
  </si>
  <si>
    <t>7. Is the company competitive in the market?</t>
  </si>
  <si>
    <t>d. Management Tenets:</t>
  </si>
  <si>
    <t>8. Does the company have positive ESG value?</t>
  </si>
  <si>
    <t>9. Is the management candid, capable and rational?</t>
  </si>
  <si>
    <t>10. Has management resisted the temptation to grow quickly by merger?</t>
  </si>
  <si>
    <t>the Quality Score Multiplier estimated to be</t>
  </si>
  <si>
    <t xml:space="preserve">The margin of Safety Recomended is </t>
  </si>
  <si>
    <t>Company statement Inputs</t>
  </si>
  <si>
    <t>Year of the last 10k =</t>
  </si>
  <si>
    <t>Figures in =</t>
  </si>
  <si>
    <t>LTM/FY =</t>
  </si>
  <si>
    <t>FY</t>
  </si>
  <si>
    <t>LTM Net Income:</t>
  </si>
  <si>
    <t>Sales</t>
  </si>
  <si>
    <t>Sales Growth Rate</t>
  </si>
  <si>
    <t>BV EBIT</t>
  </si>
  <si>
    <t>EBIT Margin</t>
  </si>
  <si>
    <t>EBIT Growth</t>
  </si>
  <si>
    <t>NOPAT</t>
  </si>
  <si>
    <t>After Tax 
ROIC</t>
  </si>
  <si>
    <t>R&amp;D Expenses 
(Optional)</t>
  </si>
  <si>
    <t>Interest Expense</t>
  </si>
  <si>
    <t>Effective Tax Rate</t>
  </si>
  <si>
    <t>Net Income attributed to MI</t>
  </si>
  <si>
    <t>Current Asset</t>
  </si>
  <si>
    <t>Current Liabilities</t>
  </si>
  <si>
    <t>Interest-bearing Debt</t>
  </si>
  <si>
    <t>Equity</t>
  </si>
  <si>
    <t>BV of Minority interests</t>
  </si>
  <si>
    <t>Cash &amp; Marketable Securities</t>
  </si>
  <si>
    <t>Non-operating Assets</t>
  </si>
  <si>
    <t>Invested Capital</t>
  </si>
  <si>
    <t>Capex</t>
  </si>
  <si>
    <t>D&amp;A</t>
  </si>
  <si>
    <t>Net Capex</t>
  </si>
  <si>
    <t>Net Capex/Sales</t>
  </si>
  <si>
    <t>Non-cash WC</t>
  </si>
  <si>
    <t>WCInv</t>
  </si>
  <si>
    <t>LTM</t>
  </si>
  <si>
    <t>Data Adjustments</t>
  </si>
  <si>
    <t>1. Base Year EBIT Adjustment</t>
  </si>
  <si>
    <t>Adj. approach =</t>
  </si>
  <si>
    <t>No Adjustment</t>
  </si>
  <si>
    <t>1. No Adjustment</t>
  </si>
  <si>
    <t>2. Average after-tax ROC</t>
  </si>
  <si>
    <t>3. Direct Input</t>
  </si>
  <si>
    <t>2. Stable Growth Period</t>
  </si>
  <si>
    <t>Perpetual EBIT growth rate=</t>
  </si>
  <si>
    <t>3. After-tax ROC</t>
  </si>
  <si>
    <t>1. No Adjustement</t>
  </si>
  <si>
    <t>2. Historical average</t>
  </si>
  <si>
    <t>3. Sector After Tax ROC</t>
  </si>
  <si>
    <t>4. Tax Rate</t>
  </si>
  <si>
    <t xml:space="preserve">Tax Rate for future periods = </t>
  </si>
  <si>
    <t>Marginal Tax Rate</t>
  </si>
  <si>
    <t>1. Effective Tax rate</t>
  </si>
  <si>
    <t>2. Marginal Tax rate</t>
  </si>
  <si>
    <t>5. Market Value of the Debt and Options</t>
  </si>
  <si>
    <t>MV of the Debt</t>
  </si>
  <si>
    <t>MV of the Options</t>
  </si>
  <si>
    <t>6. Market Value of the Non-operating Assets</t>
  </si>
  <si>
    <t>MV of the Non-operating Assets</t>
  </si>
  <si>
    <t>As stated in FS</t>
  </si>
  <si>
    <t>1. As stated in FS</t>
  </si>
  <si>
    <t>2. Direct Input</t>
  </si>
  <si>
    <t>7. Market Value of Minority Interests</t>
  </si>
  <si>
    <t>Estimated MV of the MI =</t>
  </si>
  <si>
    <t>P/B Approach</t>
  </si>
  <si>
    <t>1. BV of the MI</t>
  </si>
  <si>
    <t>3. P/E Approach</t>
  </si>
  <si>
    <t>2. P/B Approach</t>
  </si>
  <si>
    <t>4. Direct Input</t>
  </si>
  <si>
    <t>8. R&amp;D Adjustment</t>
  </si>
  <si>
    <t>Capitalize R&amp;D expenses?</t>
  </si>
  <si>
    <t>EBIT Adjstment =</t>
  </si>
  <si>
    <t>Net Capex Adjustment =</t>
  </si>
  <si>
    <t>Valuation Output</t>
  </si>
  <si>
    <t>Value Drivers (Scenario Inputs)</t>
  </si>
  <si>
    <t>CAP Drivers</t>
  </si>
  <si>
    <t>Stable Growth Drivers</t>
  </si>
  <si>
    <t>CAP Estimates</t>
  </si>
  <si>
    <t>Reinvestment rate =</t>
  </si>
  <si>
    <t>Reinvestment Rate=</t>
  </si>
  <si>
    <t>Adjust CAP inputs at year</t>
  </si>
  <si>
    <t>Discount Rate =</t>
  </si>
  <si>
    <t>Output Summary</t>
  </si>
  <si>
    <t>The FCFF for the high growth phase are shown below (upto 10 years)</t>
  </si>
  <si>
    <t>Terminal Year</t>
  </si>
  <si>
    <t>Invested Capital (t-1)</t>
  </si>
  <si>
    <t>Revenue growth rate</t>
  </si>
  <si>
    <t>Revenue</t>
  </si>
  <si>
    <t>EBIT margin</t>
  </si>
  <si>
    <t>Marginal ROC</t>
  </si>
  <si>
    <t>ROC Exisiting</t>
  </si>
  <si>
    <t>EBIT growth rate</t>
  </si>
  <si>
    <t>EBIT (Operating income)</t>
  </si>
  <si>
    <t>Tax rate</t>
  </si>
  <si>
    <t>ROIC</t>
  </si>
  <si>
    <t>Reinvestment Rate</t>
  </si>
  <si>
    <t>Reinvestment</t>
  </si>
  <si>
    <t>FCFF</t>
  </si>
  <si>
    <t>Discount Rate</t>
  </si>
  <si>
    <t>Cumulated Discount factor</t>
  </si>
  <si>
    <t>PV of FCFF</t>
  </si>
  <si>
    <t>FCFF Valuation</t>
  </si>
  <si>
    <t>% Value</t>
  </si>
  <si>
    <t>Values</t>
  </si>
  <si>
    <t>PV of FCFF during CAP =</t>
  </si>
  <si>
    <t>PV of Terminal Value =</t>
  </si>
  <si>
    <t>Value of Firm =</t>
  </si>
  <si>
    <t>- MV of outstanding debt =</t>
  </si>
  <si>
    <t>Value of Equity =</t>
  </si>
  <si>
    <t>- MV of Minority Interests</t>
  </si>
  <si>
    <t>- MV of Options</t>
  </si>
  <si>
    <t>Value of Equity in Common Stock =</t>
  </si>
  <si>
    <t>Value of equity per share =</t>
  </si>
  <si>
    <t>Valuation Verdict:</t>
  </si>
  <si>
    <t>Given the Current Stock price =</t>
  </si>
  <si>
    <t>,the company 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</si>
</sst>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mm&quot;"/>
  </numFmts>
  <fonts count="27">
    <font>
      <sz val="10.0"/>
      <color rgb="FF000000"/>
      <name val="Arial"/>
      <scheme val="minor"/>
    </font>
    <font>
      <b/>
      <color rgb="FFFFFFFF"/>
      <name val="Arial"/>
      <scheme val="minor"/>
    </font>
    <font>
      <color rgb="FFFFFFFF"/>
      <name val="Arial"/>
      <scheme val="minor"/>
    </font>
    <font>
      <b/>
      <color theme="1"/>
      <name val="Arial"/>
      <scheme val="minor"/>
    </font>
    <font/>
    <font>
      <i/>
      <color rgb="FF000000"/>
      <name val="Arial"/>
      <scheme val="minor"/>
    </font>
    <font>
      <b/>
      <i/>
      <color rgb="FF000000"/>
      <name val="Arial"/>
      <scheme val="minor"/>
    </font>
    <font>
      <i/>
      <color rgb="FF0000FF"/>
      <name val="Arial"/>
      <scheme val="minor"/>
    </font>
    <font>
      <color theme="1"/>
      <name val="Arial"/>
      <scheme val="minor"/>
    </font>
    <font>
      <color rgb="FF0000FF"/>
      <name val="Arial"/>
      <scheme val="minor"/>
    </font>
    <font>
      <color rgb="FF000000"/>
      <name val="Arial"/>
      <scheme val="minor"/>
    </font>
    <font>
      <i/>
      <color theme="1"/>
      <name val="Arial"/>
      <scheme val="minor"/>
    </font>
    <font>
      <i/>
      <color rgb="FFFFFFFF"/>
      <name val="Arial"/>
      <scheme val="minor"/>
    </font>
    <font>
      <b/>
      <i/>
      <u/>
      <color theme="1"/>
      <name val="Arial"/>
    </font>
    <font>
      <color theme="1"/>
      <name val="Arial"/>
    </font>
    <font>
      <b/>
      <i/>
      <color theme="1"/>
      <name val="Arial"/>
      <scheme val="minor"/>
    </font>
    <font>
      <color rgb="FF000000"/>
      <name val="Arial"/>
    </font>
    <font>
      <b/>
      <i/>
      <u/>
      <color theme="1"/>
      <name val="Arial"/>
      <scheme val="minor"/>
    </font>
    <font>
      <b/>
      <i/>
      <color theme="1"/>
      <name val="Arial"/>
    </font>
    <font>
      <b/>
      <color rgb="FF000000"/>
      <name val="Roboto"/>
    </font>
    <font>
      <color rgb="FFFFFFFF"/>
      <name val="Arial"/>
    </font>
    <font>
      <color rgb="FFCC4125"/>
      <name val="Arial"/>
      <scheme val="minor"/>
    </font>
    <font>
      <color rgb="FFE06666"/>
      <name val="Arial"/>
      <scheme val="minor"/>
    </font>
    <font>
      <u/>
      <color theme="1"/>
      <name val="Arial"/>
      <scheme val="minor"/>
    </font>
    <font>
      <i/>
      <u/>
      <color theme="1"/>
      <name val="Arial"/>
      <scheme val="minor"/>
    </font>
    <font>
      <i/>
      <sz val="9.0"/>
      <color rgb="FFFFFFFF"/>
      <name val="Arial"/>
      <scheme val="minor"/>
    </font>
    <font>
      <u/>
      <color theme="1"/>
      <name val="Arial"/>
      <scheme val="minor"/>
    </font>
  </fonts>
  <fills count="9">
    <fill>
      <patternFill patternType="none"/>
    </fill>
    <fill>
      <patternFill patternType="lightGray"/>
    </fill>
    <fill>
      <patternFill patternType="solid">
        <fgColor rgb="FFCC4125"/>
        <bgColor rgb="FFCC4125"/>
      </patternFill>
    </fill>
    <fill>
      <patternFill patternType="solid">
        <fgColor rgb="FF3C78D8"/>
        <bgColor rgb="FF3C78D8"/>
      </patternFill>
    </fill>
    <fill>
      <patternFill patternType="solid">
        <fgColor rgb="FFB6D7A8"/>
        <bgColor rgb="FFB6D7A8"/>
      </patternFill>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A4C2F4"/>
        <bgColor rgb="FFA4C2F4"/>
      </patternFill>
    </fill>
  </fills>
  <borders count="17">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top style="thin">
        <color rgb="FF000000"/>
      </top>
    </border>
    <border>
      <top style="double">
        <color rgb="FF000000"/>
      </top>
      <bottom style="thin">
        <color rgb="FF000000"/>
      </bottom>
    </border>
    <border>
      <bottom style="double">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3" fontId="2" numFmtId="0" xfId="0" applyAlignment="1" applyFill="1" applyFont="1">
      <alignment horizontal="left" readingOrder="0"/>
    </xf>
    <xf borderId="1" fillId="4" fontId="3" numFmtId="2" xfId="0" applyAlignment="1" applyBorder="1" applyFill="1" applyFont="1" applyNumberFormat="1">
      <alignment horizontal="center" readingOrder="0"/>
    </xf>
    <xf borderId="2" fillId="0" fontId="4" numFmtId="0" xfId="0" applyBorder="1" applyFont="1"/>
    <xf borderId="1" fillId="4" fontId="5" numFmtId="10" xfId="0" applyAlignment="1" applyBorder="1" applyFont="1" applyNumberFormat="1">
      <alignment horizontal="center"/>
    </xf>
    <xf borderId="3" fillId="0" fontId="4" numFmtId="0" xfId="0" applyBorder="1" applyFont="1"/>
    <xf borderId="1" fillId="5" fontId="6" numFmtId="4" xfId="0" applyAlignment="1" applyBorder="1" applyFill="1" applyFont="1" applyNumberFormat="1">
      <alignment horizontal="center"/>
    </xf>
    <xf borderId="1" fillId="6" fontId="7" numFmtId="10" xfId="0" applyAlignment="1" applyBorder="1" applyFill="1" applyFont="1" applyNumberFormat="1">
      <alignment horizontal="center" readingOrder="0"/>
    </xf>
    <xf borderId="1" fillId="4" fontId="5" numFmtId="10" xfId="0" applyAlignment="1" applyBorder="1" applyFont="1" applyNumberFormat="1">
      <alignment horizontal="center" readingOrder="0"/>
    </xf>
    <xf borderId="0" fillId="0" fontId="8" numFmtId="0" xfId="0" applyAlignment="1" applyFont="1">
      <alignment readingOrder="0"/>
    </xf>
    <xf borderId="0" fillId="0" fontId="2" numFmtId="0" xfId="0" applyFont="1"/>
    <xf borderId="0" fillId="6" fontId="9" numFmtId="0" xfId="0" applyAlignment="1" applyFont="1">
      <alignment horizontal="center" readingOrder="0"/>
    </xf>
    <xf borderId="0" fillId="0" fontId="3" numFmtId="0" xfId="0" applyAlignment="1" applyFont="1">
      <alignment readingOrder="0"/>
    </xf>
    <xf borderId="0" fillId="4" fontId="8" numFmtId="0" xfId="0" applyAlignment="1" applyFont="1">
      <alignment horizontal="center" readingOrder="0"/>
    </xf>
    <xf borderId="0" fillId="6" fontId="8" numFmtId="0" xfId="0" applyAlignment="1" applyFont="1">
      <alignment horizontal="center" readingOrder="0"/>
    </xf>
    <xf borderId="0" fillId="4" fontId="3" numFmtId="0" xfId="0" applyFont="1"/>
    <xf borderId="4" fillId="3" fontId="2" numFmtId="0" xfId="0" applyAlignment="1" applyBorder="1" applyFont="1">
      <alignment readingOrder="0"/>
    </xf>
    <xf borderId="5" fillId="6" fontId="9" numFmtId="49" xfId="0" applyAlignment="1" applyBorder="1" applyFont="1" applyNumberFormat="1">
      <alignment horizontal="center" readingOrder="0"/>
    </xf>
    <xf borderId="6" fillId="0" fontId="4" numFmtId="0" xfId="0" applyBorder="1" applyFont="1"/>
    <xf borderId="7" fillId="3" fontId="2" numFmtId="0" xfId="0" applyAlignment="1" applyBorder="1" applyFont="1">
      <alignment readingOrder="0"/>
    </xf>
    <xf borderId="8" fillId="0" fontId="4" numFmtId="0" xfId="0" applyBorder="1" applyFont="1"/>
    <xf borderId="9" fillId="3" fontId="2" numFmtId="0" xfId="0" applyAlignment="1" applyBorder="1" applyFont="1">
      <alignment readingOrder="0"/>
    </xf>
    <xf borderId="10" fillId="6" fontId="9" numFmtId="164" xfId="0" applyAlignment="1" applyBorder="1" applyFont="1" applyNumberFormat="1">
      <alignment horizontal="center" readingOrder="0"/>
    </xf>
    <xf borderId="11" fillId="0" fontId="4" numFmtId="0" xfId="0" applyBorder="1" applyFont="1"/>
    <xf borderId="5" fillId="6" fontId="9" numFmtId="0" xfId="0" applyAlignment="1" applyBorder="1" applyFont="1">
      <alignment horizontal="center" readingOrder="0"/>
    </xf>
    <xf borderId="0" fillId="4" fontId="8" numFmtId="0" xfId="0" applyAlignment="1" applyFont="1">
      <alignment horizontal="right"/>
    </xf>
    <xf borderId="8" fillId="4" fontId="8" numFmtId="0" xfId="0" applyAlignment="1" applyBorder="1" applyFont="1">
      <alignment horizontal="center"/>
    </xf>
    <xf borderId="0" fillId="6" fontId="9" numFmtId="3" xfId="0" applyAlignment="1" applyFont="1" applyNumberFormat="1">
      <alignment horizontal="center" readingOrder="0"/>
    </xf>
    <xf borderId="0" fillId="4" fontId="10" numFmtId="165" xfId="0" applyAlignment="1" applyFont="1" applyNumberFormat="1">
      <alignment horizontal="center" readingOrder="0"/>
    </xf>
    <xf borderId="5" fillId="4" fontId="8" numFmtId="4" xfId="0" applyAlignment="1" applyBorder="1" applyFont="1" applyNumberFormat="1">
      <alignment horizontal="center" readingOrder="0"/>
    </xf>
    <xf borderId="10" fillId="4" fontId="8" numFmtId="4" xfId="0" applyAlignment="1" applyBorder="1" applyFont="1" applyNumberFormat="1">
      <alignment horizontal="center"/>
    </xf>
    <xf borderId="10" fillId="4" fontId="8" numFmtId="0" xfId="0" applyAlignment="1" applyBorder="1" applyFont="1">
      <alignment horizontal="right"/>
    </xf>
    <xf borderId="11" fillId="4" fontId="8" numFmtId="0" xfId="0" applyAlignment="1" applyBorder="1" applyFont="1">
      <alignment horizontal="center"/>
    </xf>
    <xf borderId="0" fillId="7" fontId="8" numFmtId="0" xfId="0" applyFill="1" applyFont="1"/>
    <xf borderId="1" fillId="2" fontId="2" numFmtId="0" xfId="0" applyAlignment="1" applyBorder="1" applyFont="1">
      <alignment horizontal="center" readingOrder="0"/>
    </xf>
    <xf borderId="0" fillId="3" fontId="2" numFmtId="0" xfId="0" applyAlignment="1" applyFont="1">
      <alignment readingOrder="0"/>
    </xf>
    <xf borderId="1" fillId="4" fontId="11" numFmtId="0" xfId="0" applyAlignment="1" applyBorder="1" applyFont="1">
      <alignment horizontal="center" readingOrder="0"/>
    </xf>
    <xf borderId="1" fillId="4" fontId="11" numFmtId="10" xfId="0" applyAlignment="1" applyBorder="1" applyFont="1" applyNumberFormat="1">
      <alignment horizontal="center" readingOrder="0"/>
    </xf>
    <xf borderId="1" fillId="5" fontId="3" numFmtId="2" xfId="0" applyAlignment="1" applyBorder="1" applyFont="1" applyNumberFormat="1">
      <alignment horizontal="center" readingOrder="0"/>
    </xf>
    <xf borderId="1" fillId="4" fontId="6" numFmtId="4" xfId="0" applyAlignment="1" applyBorder="1" applyFont="1" applyNumberFormat="1">
      <alignment horizontal="center"/>
    </xf>
    <xf borderId="0" fillId="2" fontId="8" numFmtId="0" xfId="0" applyFont="1"/>
    <xf borderId="0" fillId="7" fontId="8" numFmtId="0" xfId="0" applyAlignment="1" applyFont="1">
      <alignment readingOrder="0"/>
    </xf>
    <xf borderId="1" fillId="6" fontId="9" numFmtId="10" xfId="0" applyAlignment="1" applyBorder="1" applyFont="1" applyNumberFormat="1">
      <alignment horizontal="center" readingOrder="0"/>
    </xf>
    <xf borderId="1" fillId="6" fontId="9" numFmtId="10" xfId="0" applyAlignment="1" applyBorder="1" applyFont="1" applyNumberFormat="1">
      <alignment horizontal="center"/>
    </xf>
    <xf borderId="0" fillId="5" fontId="8" numFmtId="0" xfId="0" applyAlignment="1" applyFont="1">
      <alignment readingOrder="0"/>
    </xf>
    <xf borderId="0" fillId="5" fontId="8" numFmtId="0" xfId="0" applyFont="1"/>
    <xf borderId="12" fillId="6" fontId="10" numFmtId="0" xfId="0" applyAlignment="1" applyBorder="1" applyFont="1">
      <alignment horizontal="center" readingOrder="0" vertical="center"/>
    </xf>
    <xf borderId="1" fillId="6" fontId="9" numFmtId="0" xfId="0" applyAlignment="1" applyBorder="1" applyFont="1">
      <alignment horizontal="center" readingOrder="0" vertical="center"/>
    </xf>
    <xf borderId="12" fillId="6" fontId="10" numFmtId="0" xfId="0" applyAlignment="1" applyBorder="1" applyFont="1">
      <alignment horizontal="center" readingOrder="0"/>
    </xf>
    <xf borderId="1" fillId="6" fontId="9" numFmtId="0" xfId="0" applyAlignment="1" applyBorder="1" applyFont="1">
      <alignment horizontal="left" readingOrder="0"/>
    </xf>
    <xf borderId="12" fillId="2" fontId="2" numFmtId="0" xfId="0" applyAlignment="1" applyBorder="1" applyFont="1">
      <alignment horizontal="center" readingOrder="0"/>
    </xf>
    <xf borderId="0" fillId="0" fontId="2" numFmtId="0" xfId="0" applyAlignment="1" applyFont="1">
      <alignment horizontal="center" readingOrder="0"/>
    </xf>
    <xf borderId="12" fillId="2" fontId="12" numFmtId="0" xfId="0" applyAlignment="1" applyBorder="1" applyFont="1">
      <alignment horizontal="center" readingOrder="0"/>
    </xf>
    <xf borderId="3" fillId="2" fontId="2" numFmtId="0" xfId="0" applyAlignment="1" applyBorder="1" applyFont="1">
      <alignment horizontal="center" readingOrder="0"/>
    </xf>
    <xf borderId="2" fillId="2" fontId="2" numFmtId="0" xfId="0" applyAlignment="1" applyBorder="1" applyFont="1">
      <alignment horizontal="center" readingOrder="0"/>
    </xf>
    <xf borderId="12" fillId="0" fontId="8" numFmtId="0" xfId="0" applyAlignment="1" applyBorder="1" applyFont="1">
      <alignment horizontal="center" readingOrder="0" vertical="center"/>
    </xf>
    <xf borderId="12" fillId="7" fontId="8" numFmtId="0" xfId="0" applyAlignment="1" applyBorder="1" applyFont="1">
      <alignment horizontal="center" vertical="center"/>
    </xf>
    <xf borderId="12" fillId="6" fontId="9" numFmtId="0" xfId="0" applyAlignment="1" applyBorder="1" applyFont="1">
      <alignment horizontal="center" readingOrder="0" vertical="center"/>
    </xf>
    <xf borderId="1" fillId="7" fontId="8" numFmtId="10" xfId="0" applyAlignment="1" applyBorder="1" applyFont="1" applyNumberFormat="1">
      <alignment horizontal="center" readingOrder="0" vertical="center"/>
    </xf>
    <xf borderId="1" fillId="6" fontId="9" numFmtId="0" xfId="0" applyAlignment="1" applyBorder="1" applyFont="1">
      <alignment horizontal="left" vertical="center"/>
    </xf>
    <xf borderId="12" fillId="4" fontId="8" numFmtId="10" xfId="0" applyAlignment="1" applyBorder="1" applyFont="1" applyNumberFormat="1">
      <alignment horizontal="center" vertical="center"/>
    </xf>
    <xf borderId="1" fillId="6" fontId="9" numFmtId="10" xfId="0" applyAlignment="1" applyBorder="1" applyFont="1" applyNumberFormat="1">
      <alignment horizontal="center" readingOrder="0" vertical="center"/>
    </xf>
    <xf borderId="12" fillId="6" fontId="9" numFmtId="10" xfId="0" applyAlignment="1" applyBorder="1" applyFont="1" applyNumberFormat="1">
      <alignment horizontal="center" readingOrder="0" vertical="center"/>
    </xf>
    <xf borderId="1" fillId="8" fontId="8" numFmtId="10" xfId="0" applyAlignment="1" applyBorder="1" applyFill="1" applyFont="1" applyNumberFormat="1">
      <alignment horizontal="center" readingOrder="0" vertical="center"/>
    </xf>
    <xf borderId="1" fillId="4" fontId="8" numFmtId="10" xfId="0" applyAlignment="1" applyBorder="1" applyFont="1" applyNumberFormat="1">
      <alignment horizontal="center" vertical="center"/>
    </xf>
    <xf borderId="1" fillId="8" fontId="8" numFmtId="10" xfId="0" applyAlignment="1" applyBorder="1" applyFont="1" applyNumberFormat="1">
      <alignment horizontal="center" vertical="center"/>
    </xf>
    <xf borderId="0" fillId="2" fontId="1" numFmtId="0" xfId="0" applyFont="1"/>
    <xf borderId="0" fillId="0" fontId="8" numFmtId="0" xfId="0" applyAlignment="1" applyFont="1">
      <alignment horizontal="center"/>
    </xf>
    <xf borderId="0" fillId="0" fontId="8" numFmtId="0" xfId="0" applyAlignment="1" applyFont="1">
      <alignment horizontal="center" readingOrder="0"/>
    </xf>
    <xf borderId="0" fillId="0" fontId="2" numFmtId="10" xfId="0" applyAlignment="1" applyFont="1" applyNumberFormat="1">
      <alignment readingOrder="0"/>
    </xf>
    <xf borderId="0" fillId="0" fontId="2" numFmtId="0" xfId="0" applyAlignment="1" applyFont="1">
      <alignment readingOrder="0"/>
    </xf>
    <xf borderId="0" fillId="5" fontId="8" numFmtId="0" xfId="0" applyAlignment="1" applyFont="1">
      <alignment horizontal="center" readingOrder="0"/>
    </xf>
    <xf borderId="0" fillId="0" fontId="13" numFmtId="0" xfId="0" applyAlignment="1" applyFont="1">
      <alignment readingOrder="0" shrinkToFit="0" vertical="bottom" wrapText="0"/>
    </xf>
    <xf borderId="0" fillId="0" fontId="14" numFmtId="0" xfId="0" applyAlignment="1" applyFont="1">
      <alignment vertical="bottom"/>
    </xf>
    <xf borderId="13" fillId="0" fontId="14" numFmtId="0" xfId="0" applyAlignment="1" applyBorder="1" applyFont="1">
      <alignment readingOrder="0" shrinkToFit="0" vertical="bottom" wrapText="0"/>
    </xf>
    <xf borderId="0" fillId="0" fontId="15" numFmtId="0" xfId="0" applyAlignment="1" applyFont="1">
      <alignment readingOrder="0"/>
    </xf>
    <xf borderId="0" fillId="4" fontId="16" numFmtId="10" xfId="0" applyAlignment="1" applyFont="1" applyNumberFormat="1">
      <alignment horizontal="center" readingOrder="0" vertical="bottom"/>
    </xf>
    <xf borderId="0" fillId="0" fontId="17" numFmtId="0" xfId="0" applyAlignment="1" applyFont="1">
      <alignment readingOrder="0"/>
    </xf>
    <xf borderId="0" fillId="0" fontId="3" numFmtId="0" xfId="0" applyFont="1"/>
    <xf borderId="13" fillId="0" fontId="18" numFmtId="0" xfId="0" applyAlignment="1" applyBorder="1" applyFont="1">
      <alignment readingOrder="0" shrinkToFit="0" vertical="bottom" wrapText="0"/>
    </xf>
    <xf borderId="0" fillId="0" fontId="2" numFmtId="10" xfId="0" applyFont="1" applyNumberFormat="1"/>
    <xf borderId="0" fillId="4" fontId="14" numFmtId="10" xfId="0" applyAlignment="1" applyFont="1" applyNumberFormat="1">
      <alignment horizontal="center" vertical="bottom"/>
    </xf>
    <xf borderId="0" fillId="7" fontId="19" numFmtId="0" xfId="0" applyAlignment="1" applyFont="1">
      <alignment vertical="bottom"/>
    </xf>
    <xf borderId="0" fillId="0" fontId="14" numFmtId="0" xfId="0" applyAlignment="1" applyFont="1">
      <alignment horizontal="right" vertical="bottom"/>
    </xf>
    <xf borderId="0" fillId="0" fontId="20" numFmtId="10" xfId="0" applyAlignment="1" applyFont="1" applyNumberFormat="1">
      <alignment horizontal="right" vertical="bottom"/>
    </xf>
    <xf borderId="0" fillId="5" fontId="14" numFmtId="10" xfId="0" applyAlignment="1" applyFont="1" applyNumberFormat="1">
      <alignment horizontal="center" vertical="bottom"/>
    </xf>
    <xf borderId="0" fillId="7" fontId="3" numFmtId="0" xfId="0" applyAlignment="1" applyFont="1">
      <alignment readingOrder="0"/>
    </xf>
    <xf borderId="12" fillId="6" fontId="9" numFmtId="0" xfId="0" applyAlignment="1" applyBorder="1" applyFont="1">
      <alignment horizontal="center" readingOrder="0"/>
    </xf>
    <xf borderId="12" fillId="6" fontId="9" numFmtId="3" xfId="0" applyAlignment="1" applyBorder="1" applyFont="1" applyNumberFormat="1">
      <alignment horizontal="center" readingOrder="0"/>
    </xf>
    <xf borderId="12" fillId="6" fontId="9" numFmtId="3" xfId="0" applyAlignment="1" applyBorder="1" applyFont="1" applyNumberFormat="1">
      <alignment horizontal="center" readingOrder="0"/>
    </xf>
    <xf borderId="12" fillId="2" fontId="8" numFmtId="0" xfId="0" applyAlignment="1" applyBorder="1" applyFont="1">
      <alignment shrinkToFit="0" wrapText="1"/>
    </xf>
    <xf borderId="12" fillId="2" fontId="2" numFmtId="0" xfId="0" applyAlignment="1" applyBorder="1" applyFont="1">
      <alignment horizontal="center" readingOrder="0" shrinkToFit="0" wrapText="1"/>
    </xf>
    <xf borderId="0" fillId="7" fontId="8" numFmtId="0" xfId="0" applyAlignment="1" applyFont="1">
      <alignment horizontal="center" readingOrder="0"/>
    </xf>
    <xf borderId="12" fillId="0" fontId="8" numFmtId="0" xfId="0" applyAlignment="1" applyBorder="1" applyFont="1">
      <alignment horizontal="center" readingOrder="0"/>
    </xf>
    <xf borderId="12" fillId="6" fontId="8" numFmtId="3" xfId="0" applyAlignment="1" applyBorder="1" applyFont="1" applyNumberFormat="1">
      <alignment readingOrder="0"/>
    </xf>
    <xf borderId="12" fillId="6" fontId="8" numFmtId="0" xfId="0" applyBorder="1" applyFont="1"/>
    <xf borderId="12" fillId="4" fontId="8" numFmtId="10" xfId="0" applyAlignment="1" applyBorder="1" applyFont="1" applyNumberFormat="1">
      <alignment readingOrder="0"/>
    </xf>
    <xf borderId="12" fillId="4" fontId="8" numFmtId="3" xfId="0" applyAlignment="1" applyBorder="1" applyFont="1" applyNumberFormat="1">
      <alignment horizontal="center" readingOrder="0"/>
    </xf>
    <xf borderId="12" fillId="4" fontId="8" numFmtId="10" xfId="0" applyBorder="1" applyFont="1" applyNumberFormat="1"/>
    <xf borderId="12" fillId="6" fontId="8" numFmtId="3" xfId="0" applyBorder="1" applyFont="1" applyNumberFormat="1"/>
    <xf borderId="12" fillId="6" fontId="8" numFmtId="3" xfId="0" applyAlignment="1" applyBorder="1" applyFont="1" applyNumberFormat="1">
      <alignment horizontal="center" readingOrder="0"/>
    </xf>
    <xf borderId="12" fillId="6" fontId="8" numFmtId="10" xfId="0" applyAlignment="1" applyBorder="1" applyFont="1" applyNumberFormat="1">
      <alignment readingOrder="0"/>
    </xf>
    <xf borderId="12" fillId="4" fontId="8" numFmtId="0" xfId="0" applyAlignment="1" applyBorder="1" applyFont="1">
      <alignment readingOrder="0"/>
    </xf>
    <xf borderId="12" fillId="4" fontId="8" numFmtId="0" xfId="0" applyBorder="1" applyFont="1"/>
    <xf borderId="12" fillId="6" fontId="8" numFmtId="10" xfId="0" applyBorder="1" applyFont="1" applyNumberFormat="1"/>
    <xf borderId="12" fillId="4" fontId="8" numFmtId="3" xfId="0" applyAlignment="1" applyBorder="1" applyFont="1" applyNumberFormat="1">
      <alignment readingOrder="0"/>
    </xf>
    <xf borderId="12" fillId="4" fontId="8" numFmtId="3" xfId="0" applyBorder="1" applyFont="1" applyNumberFormat="1"/>
    <xf borderId="12" fillId="6" fontId="8" numFmtId="3" xfId="0" applyAlignment="1" applyBorder="1" applyFont="1" applyNumberFormat="1">
      <alignment horizontal="center"/>
    </xf>
    <xf borderId="12" fillId="7" fontId="8" numFmtId="10" xfId="0" applyAlignment="1" applyBorder="1" applyFont="1" applyNumberFormat="1">
      <alignment readingOrder="0"/>
    </xf>
    <xf borderId="12" fillId="7" fontId="8" numFmtId="0" xfId="0" applyBorder="1" applyFont="1"/>
    <xf borderId="12" fillId="7" fontId="8" numFmtId="10" xfId="0" applyBorder="1" applyFont="1" applyNumberFormat="1"/>
    <xf borderId="12" fillId="0" fontId="8" numFmtId="10" xfId="0" applyBorder="1" applyFont="1" applyNumberFormat="1"/>
    <xf borderId="12" fillId="6" fontId="8" numFmtId="0" xfId="0" applyAlignment="1" applyBorder="1" applyFont="1">
      <alignment horizontal="center" readingOrder="0"/>
    </xf>
    <xf borderId="0" fillId="0" fontId="2" numFmtId="3" xfId="0" applyAlignment="1" applyFont="1" applyNumberFormat="1">
      <alignment horizontal="left"/>
    </xf>
    <xf borderId="0" fillId="0" fontId="8" numFmtId="10" xfId="0" applyAlignment="1" applyFont="1" applyNumberFormat="1">
      <alignment horizontal="center" readingOrder="0"/>
    </xf>
    <xf borderId="12" fillId="4" fontId="8" numFmtId="3" xfId="0" applyAlignment="1" applyBorder="1" applyFont="1" applyNumberFormat="1">
      <alignment horizontal="center"/>
    </xf>
    <xf borderId="0" fillId="0" fontId="21" numFmtId="0" xfId="0" applyFont="1"/>
    <xf borderId="0" fillId="5" fontId="8" numFmtId="0" xfId="0" applyAlignment="1" applyFont="1">
      <alignment readingOrder="0"/>
    </xf>
    <xf borderId="12" fillId="6" fontId="8" numFmtId="10" xfId="0" applyAlignment="1" applyBorder="1" applyFont="1" applyNumberFormat="1">
      <alignment horizontal="center" readingOrder="0"/>
    </xf>
    <xf borderId="12" fillId="4" fontId="8" numFmtId="10" xfId="0" applyAlignment="1" applyBorder="1" applyFont="1" applyNumberFormat="1">
      <alignment horizontal="center"/>
    </xf>
    <xf borderId="0" fillId="0" fontId="8" numFmtId="0" xfId="0" applyAlignment="1" applyFont="1">
      <alignment horizontal="left" readingOrder="0"/>
    </xf>
    <xf borderId="12" fillId="6" fontId="8" numFmtId="0" xfId="0" applyAlignment="1" applyBorder="1" applyFont="1">
      <alignment horizontal="center"/>
    </xf>
    <xf borderId="0" fillId="7" fontId="2" numFmtId="10" xfId="0" applyAlignment="1" applyFont="1" applyNumberFormat="1">
      <alignment horizontal="center"/>
    </xf>
    <xf borderId="12" fillId="4" fontId="8" numFmtId="10" xfId="0" applyAlignment="1" applyBorder="1" applyFont="1" applyNumberFormat="1">
      <alignment horizontal="center" readingOrder="0"/>
    </xf>
    <xf borderId="0" fillId="0" fontId="22" numFmtId="0" xfId="0" applyAlignment="1" applyFont="1">
      <alignment horizontal="left"/>
    </xf>
    <xf borderId="0" fillId="0" fontId="2" numFmtId="3" xfId="0" applyAlignment="1" applyFont="1" applyNumberFormat="1">
      <alignment horizontal="center"/>
    </xf>
    <xf borderId="0" fillId="5" fontId="16" numFmtId="0" xfId="0" applyAlignment="1" applyFont="1">
      <alignment horizontal="left" readingOrder="0"/>
    </xf>
    <xf borderId="0" fillId="7" fontId="2" numFmtId="3" xfId="0" applyAlignment="1" applyFont="1" applyNumberFormat="1">
      <alignment horizontal="center"/>
    </xf>
    <xf borderId="0" fillId="2" fontId="2" numFmtId="0" xfId="0" applyAlignment="1" applyFont="1">
      <alignment readingOrder="0"/>
    </xf>
    <xf borderId="0" fillId="4" fontId="23" numFmtId="0" xfId="0" applyAlignment="1" applyFont="1">
      <alignment horizontal="center" readingOrder="0"/>
    </xf>
    <xf borderId="0" fillId="0" fontId="24" numFmtId="0" xfId="0" applyAlignment="1" applyFont="1">
      <alignment readingOrder="0"/>
    </xf>
    <xf borderId="12" fillId="4" fontId="8" numFmtId="0" xfId="0" applyAlignment="1" applyBorder="1" applyFont="1">
      <alignment horizontal="center" readingOrder="0"/>
    </xf>
    <xf borderId="12" fillId="8" fontId="8" numFmtId="0" xfId="0" applyAlignment="1" applyBorder="1" applyFont="1">
      <alignment horizontal="center" readingOrder="0"/>
    </xf>
    <xf borderId="12" fillId="8" fontId="8" numFmtId="10" xfId="0" applyAlignment="1" applyBorder="1" applyFont="1" applyNumberFormat="1">
      <alignment horizontal="center" readingOrder="0"/>
    </xf>
    <xf borderId="14" fillId="2" fontId="25" numFmtId="0" xfId="0" applyBorder="1" applyFont="1"/>
    <xf borderId="14" fillId="2" fontId="2" numFmtId="0" xfId="0" applyAlignment="1" applyBorder="1" applyFont="1">
      <alignment horizontal="center" readingOrder="0"/>
    </xf>
    <xf borderId="0" fillId="0" fontId="11" numFmtId="0" xfId="0" applyAlignment="1" applyFont="1">
      <alignment horizontal="right" readingOrder="0"/>
    </xf>
    <xf borderId="0" fillId="4" fontId="8" numFmtId="4" xfId="0" applyAlignment="1" applyFont="1" applyNumberFormat="1">
      <alignment horizontal="center" readingOrder="0"/>
    </xf>
    <xf borderId="0" fillId="4" fontId="8" numFmtId="10" xfId="0" applyAlignment="1" applyFont="1" applyNumberFormat="1">
      <alignment horizontal="center" readingOrder="0"/>
    </xf>
    <xf borderId="0" fillId="4" fontId="8" numFmtId="3" xfId="0" applyAlignment="1" applyFont="1" applyNumberFormat="1">
      <alignment horizontal="center" readingOrder="0"/>
    </xf>
    <xf borderId="0" fillId="6" fontId="8" numFmtId="10" xfId="0" applyAlignment="1" applyFont="1" applyNumberFormat="1">
      <alignment horizontal="center" readingOrder="0"/>
    </xf>
    <xf borderId="0" fillId="8" fontId="8" numFmtId="10" xfId="0" applyAlignment="1" applyFont="1" applyNumberFormat="1">
      <alignment horizontal="center" readingOrder="0"/>
    </xf>
    <xf borderId="5" fillId="0" fontId="11" numFmtId="0" xfId="0" applyAlignment="1" applyBorder="1" applyFont="1">
      <alignment horizontal="right" readingOrder="0"/>
    </xf>
    <xf borderId="5" fillId="0" fontId="8" numFmtId="0" xfId="0" applyAlignment="1" applyBorder="1" applyFont="1">
      <alignment horizontal="center"/>
    </xf>
    <xf borderId="5" fillId="4" fontId="8" numFmtId="10" xfId="0" applyAlignment="1" applyBorder="1" applyFont="1" applyNumberFormat="1">
      <alignment horizontal="center" readingOrder="0"/>
    </xf>
    <xf borderId="0" fillId="4" fontId="8" numFmtId="3" xfId="0" applyAlignment="1" applyFont="1" applyNumberFormat="1">
      <alignment horizontal="center" readingOrder="0"/>
    </xf>
    <xf borderId="5" fillId="0" fontId="8" numFmtId="0" xfId="0" applyAlignment="1" applyBorder="1" applyFont="1">
      <alignment readingOrder="0"/>
    </xf>
    <xf borderId="5" fillId="4" fontId="8" numFmtId="3" xfId="0" applyAlignment="1" applyBorder="1" applyFont="1" applyNumberFormat="1">
      <alignment horizontal="center" readingOrder="0"/>
    </xf>
    <xf borderId="0" fillId="8" fontId="8" numFmtId="10" xfId="0" applyAlignment="1" applyFont="1" applyNumberFormat="1">
      <alignment horizontal="center"/>
    </xf>
    <xf borderId="10" fillId="0" fontId="8" numFmtId="0" xfId="0" applyAlignment="1" applyBorder="1" applyFont="1">
      <alignment readingOrder="0"/>
    </xf>
    <xf borderId="10" fillId="4" fontId="8" numFmtId="3" xfId="0" applyAlignment="1" applyBorder="1" applyFont="1" applyNumberFormat="1">
      <alignment horizontal="center" readingOrder="0"/>
    </xf>
    <xf borderId="15" fillId="0" fontId="8" numFmtId="0" xfId="0" applyAlignment="1" applyBorder="1" applyFont="1">
      <alignment readingOrder="0"/>
    </xf>
    <xf borderId="15" fillId="4" fontId="8" numFmtId="3" xfId="0" applyAlignment="1" applyBorder="1" applyFont="1" applyNumberFormat="1">
      <alignment horizontal="center" readingOrder="0"/>
    </xf>
    <xf borderId="15" fillId="4" fontId="8" numFmtId="0" xfId="0" applyAlignment="1" applyBorder="1" applyFont="1">
      <alignment horizontal="center" readingOrder="0"/>
    </xf>
    <xf borderId="16" fillId="0" fontId="11" numFmtId="0" xfId="0" applyAlignment="1" applyBorder="1" applyFont="1">
      <alignment horizontal="right" readingOrder="0"/>
    </xf>
    <xf borderId="16" fillId="0" fontId="8" numFmtId="0" xfId="0" applyAlignment="1" applyBorder="1" applyFont="1">
      <alignment horizontal="center"/>
    </xf>
    <xf borderId="16" fillId="4" fontId="8" numFmtId="10" xfId="0" applyAlignment="1" applyBorder="1" applyFont="1" applyNumberFormat="1">
      <alignment horizontal="center" readingOrder="0"/>
    </xf>
    <xf borderId="0" fillId="7" fontId="8" numFmtId="0" xfId="0" applyAlignment="1" applyFont="1">
      <alignment horizontal="center"/>
    </xf>
    <xf borderId="10" fillId="0" fontId="8" numFmtId="0" xfId="0" applyAlignment="1" applyBorder="1" applyFont="1">
      <alignment horizontal="center"/>
    </xf>
    <xf borderId="10" fillId="0" fontId="4" numFmtId="0" xfId="0" applyBorder="1" applyFont="1"/>
    <xf borderId="3" fillId="4" fontId="8" numFmtId="3" xfId="0" applyAlignment="1" applyBorder="1" applyFont="1" applyNumberFormat="1">
      <alignment horizontal="center" readingOrder="0"/>
    </xf>
    <xf borderId="5" fillId="4" fontId="8" numFmtId="0" xfId="0" applyAlignment="1" applyBorder="1" applyFont="1">
      <alignment horizontal="center" readingOrder="0"/>
    </xf>
    <xf borderId="3" fillId="5" fontId="3" numFmtId="2" xfId="0" applyAlignment="1" applyBorder="1" applyFont="1" applyNumberFormat="1">
      <alignment horizontal="center" readingOrder="0"/>
    </xf>
    <xf borderId="3" fillId="4" fontId="8" numFmtId="0" xfId="0" applyAlignment="1" applyBorder="1" applyFont="1">
      <alignment horizontal="center" readingOrder="0"/>
    </xf>
    <xf borderId="12" fillId="5" fontId="26" numFmtId="10" xfId="0" applyAlignment="1" applyBorder="1" applyFont="1" applyNumberForma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50.13"/>
    <col customWidth="1" min="3" max="4" width="15.13"/>
    <col customWidth="1" min="6" max="6" width="18.5"/>
  </cols>
  <sheetData>
    <row r="1">
      <c r="B1" s="1" t="s">
        <v>0</v>
      </c>
      <c r="C1" s="2"/>
    </row>
    <row r="2">
      <c r="B2" s="3" t="s">
        <v>1</v>
      </c>
      <c r="C2" s="4">
        <f>Asm!C19</f>
        <v>83.35212878</v>
      </c>
      <c r="D2" s="5"/>
      <c r="E2" s="4">
        <f>Asm!E19</f>
        <v>86.72760744</v>
      </c>
      <c r="F2" s="5"/>
      <c r="G2" s="4">
        <f>Asm!G19</f>
        <v>88.18870222</v>
      </c>
      <c r="H2" s="5"/>
    </row>
    <row r="3">
      <c r="B3" s="3" t="s">
        <v>2</v>
      </c>
      <c r="C3" s="6">
        <f>Asm!C20</f>
        <v>0.1119791667</v>
      </c>
      <c r="D3" s="7"/>
      <c r="E3" s="7"/>
      <c r="F3" s="7"/>
      <c r="G3" s="7"/>
      <c r="H3" s="5"/>
    </row>
    <row r="4">
      <c r="B4" s="3" t="s">
        <v>3</v>
      </c>
      <c r="C4" s="8">
        <f>Asm!C21</f>
        <v>74.01842686</v>
      </c>
      <c r="D4" s="5"/>
      <c r="E4" s="8">
        <f>Asm!E21</f>
        <v>77.01592223</v>
      </c>
      <c r="F4" s="5"/>
      <c r="G4" s="8">
        <f>Asm!G21</f>
        <v>78.31340483</v>
      </c>
      <c r="H4" s="5"/>
    </row>
    <row r="5">
      <c r="B5" s="3" t="s">
        <v>4</v>
      </c>
      <c r="C5" s="9">
        <v>0.75</v>
      </c>
      <c r="D5" s="5"/>
      <c r="E5" s="9">
        <v>0.65</v>
      </c>
      <c r="F5" s="5"/>
      <c r="G5" s="9">
        <v>0.55</v>
      </c>
      <c r="H5" s="5"/>
    </row>
    <row r="6">
      <c r="B6" s="3" t="s">
        <v>5</v>
      </c>
      <c r="C6" s="10">
        <f>((2*C5)-1)/2</f>
        <v>0.25</v>
      </c>
      <c r="D6" s="5"/>
      <c r="E6" s="10">
        <f>((2*E5)-1)/2</f>
        <v>0.15</v>
      </c>
      <c r="F6" s="5"/>
      <c r="G6" s="10">
        <f>((2*G5)-1)/4</f>
        <v>0.025</v>
      </c>
      <c r="H6" s="5"/>
    </row>
    <row r="8">
      <c r="B8" s="1" t="s">
        <v>6</v>
      </c>
      <c r="C8" s="2"/>
    </row>
    <row r="9">
      <c r="B9" s="11" t="s">
        <v>7</v>
      </c>
      <c r="E9" s="12">
        <f t="shared" ref="E9:E24" si="1">if(LEFT(F9,1)="H",1,0)</f>
        <v>0</v>
      </c>
      <c r="F9" s="13" t="s">
        <v>8</v>
      </c>
    </row>
    <row r="10">
      <c r="B10" s="11" t="s">
        <v>9</v>
      </c>
      <c r="E10" s="12">
        <f t="shared" si="1"/>
        <v>0</v>
      </c>
      <c r="F10" s="13" t="s">
        <v>10</v>
      </c>
    </row>
    <row r="11">
      <c r="B11" s="11" t="s">
        <v>11</v>
      </c>
      <c r="E11" s="12">
        <f t="shared" si="1"/>
        <v>0</v>
      </c>
      <c r="F11" s="13" t="s">
        <v>12</v>
      </c>
    </row>
    <row r="12">
      <c r="B12" s="11" t="s">
        <v>13</v>
      </c>
      <c r="E12" s="12">
        <f t="shared" si="1"/>
        <v>0</v>
      </c>
      <c r="F12" s="13" t="s">
        <v>14</v>
      </c>
    </row>
    <row r="13">
      <c r="B13" s="11" t="s">
        <v>15</v>
      </c>
      <c r="E13" s="12">
        <f t="shared" si="1"/>
        <v>0</v>
      </c>
      <c r="F13" s="13" t="s">
        <v>16</v>
      </c>
    </row>
    <row r="14">
      <c r="B14" s="11" t="s">
        <v>17</v>
      </c>
      <c r="E14" s="12">
        <f t="shared" si="1"/>
        <v>0</v>
      </c>
      <c r="F14" s="13" t="s">
        <v>18</v>
      </c>
    </row>
    <row r="15">
      <c r="B15" s="11" t="s">
        <v>19</v>
      </c>
      <c r="E15" s="12">
        <f t="shared" si="1"/>
        <v>1</v>
      </c>
      <c r="F15" s="13" t="s">
        <v>20</v>
      </c>
    </row>
    <row r="16">
      <c r="B16" s="11" t="s">
        <v>21</v>
      </c>
      <c r="E16" s="12">
        <f t="shared" si="1"/>
        <v>0</v>
      </c>
      <c r="F16" s="13" t="s">
        <v>22</v>
      </c>
    </row>
    <row r="17">
      <c r="B17" s="11" t="s">
        <v>23</v>
      </c>
      <c r="E17" s="12">
        <f t="shared" si="1"/>
        <v>0</v>
      </c>
      <c r="F17" s="13" t="s">
        <v>24</v>
      </c>
    </row>
    <row r="18">
      <c r="B18" s="11" t="s">
        <v>25</v>
      </c>
      <c r="E18" s="12">
        <f t="shared" si="1"/>
        <v>0</v>
      </c>
      <c r="F18" s="13" t="s">
        <v>26</v>
      </c>
    </row>
    <row r="19">
      <c r="B19" s="11" t="s">
        <v>27</v>
      </c>
      <c r="E19" s="12">
        <f t="shared" si="1"/>
        <v>0</v>
      </c>
      <c r="F19" s="13" t="s">
        <v>28</v>
      </c>
    </row>
    <row r="20">
      <c r="B20" s="11" t="s">
        <v>29</v>
      </c>
      <c r="E20" s="12">
        <f t="shared" si="1"/>
        <v>0</v>
      </c>
      <c r="F20" s="13" t="s">
        <v>30</v>
      </c>
    </row>
    <row r="21">
      <c r="B21" s="11" t="s">
        <v>31</v>
      </c>
      <c r="E21" s="12">
        <f t="shared" si="1"/>
        <v>0</v>
      </c>
      <c r="F21" s="13" t="s">
        <v>32</v>
      </c>
    </row>
    <row r="22">
      <c r="B22" s="11" t="s">
        <v>33</v>
      </c>
      <c r="E22" s="12">
        <f t="shared" si="1"/>
        <v>0</v>
      </c>
      <c r="F22" s="13" t="s">
        <v>34</v>
      </c>
    </row>
    <row r="23">
      <c r="B23" s="11" t="s">
        <v>35</v>
      </c>
      <c r="E23" s="12">
        <f t="shared" si="1"/>
        <v>0</v>
      </c>
      <c r="F23" s="13" t="s">
        <v>36</v>
      </c>
    </row>
    <row r="24">
      <c r="B24" s="11" t="s">
        <v>37</v>
      </c>
      <c r="E24" s="12">
        <f t="shared" si="1"/>
        <v>0</v>
      </c>
      <c r="F24" s="13" t="s">
        <v>38</v>
      </c>
    </row>
    <row r="25">
      <c r="B25" s="14" t="s">
        <v>39</v>
      </c>
      <c r="F25" s="15" t="str">
        <f>IF(sum(E9:E24)&gt;=12, "Hot - Be Defensive", if(sum(E9:E24)&lt;=4,"Cold - Be Aggressive", "Netrual - Be Selective"))</f>
        <v>Cold - Be Aggressive</v>
      </c>
    </row>
    <row r="27">
      <c r="B27" s="1" t="s">
        <v>40</v>
      </c>
      <c r="C27" s="2"/>
    </row>
    <row r="28">
      <c r="B28" s="11" t="s">
        <v>41</v>
      </c>
      <c r="F28" s="16" t="s">
        <v>42</v>
      </c>
      <c r="I28" s="12">
        <f t="shared" ref="I28:I33" si="2">IF(F28="Yes",1,0)</f>
        <v>0</v>
      </c>
    </row>
    <row r="29">
      <c r="B29" s="11" t="s">
        <v>43</v>
      </c>
      <c r="F29" s="16" t="s">
        <v>42</v>
      </c>
      <c r="I29" s="12">
        <f t="shared" si="2"/>
        <v>0</v>
      </c>
    </row>
    <row r="30">
      <c r="B30" s="11" t="s">
        <v>44</v>
      </c>
      <c r="F30" s="16" t="s">
        <v>45</v>
      </c>
      <c r="I30" s="12">
        <f t="shared" si="2"/>
        <v>1</v>
      </c>
    </row>
    <row r="31">
      <c r="B31" s="11" t="s">
        <v>46</v>
      </c>
      <c r="F31" s="16" t="s">
        <v>42</v>
      </c>
      <c r="I31" s="12">
        <f t="shared" si="2"/>
        <v>0</v>
      </c>
    </row>
    <row r="32">
      <c r="B32" s="11" t="s">
        <v>47</v>
      </c>
      <c r="F32" s="16" t="s">
        <v>45</v>
      </c>
      <c r="I32" s="12">
        <f t="shared" si="2"/>
        <v>1</v>
      </c>
    </row>
    <row r="33">
      <c r="B33" s="11" t="s">
        <v>48</v>
      </c>
      <c r="F33" s="16" t="s">
        <v>45</v>
      </c>
      <c r="I33" s="12">
        <f t="shared" si="2"/>
        <v>1</v>
      </c>
    </row>
    <row r="34">
      <c r="B34" s="14" t="s">
        <v>49</v>
      </c>
      <c r="F34" s="15" t="str">
        <f>IF(SUM(I28:I33)&gt;=4,"Overconfident - Be careful",IF(SUM(I28:I33)&lt;=2,"Timid - Believe yourself","Calm - Check your error"))</f>
        <v>Calm - Check your error</v>
      </c>
    </row>
  </sheetData>
  <mergeCells count="37">
    <mergeCell ref="C2:D2"/>
    <mergeCell ref="E2:F2"/>
    <mergeCell ref="G2:H2"/>
    <mergeCell ref="C3:H3"/>
    <mergeCell ref="C4:D4"/>
    <mergeCell ref="E4:F4"/>
    <mergeCell ref="G4:H4"/>
    <mergeCell ref="C5:D5"/>
    <mergeCell ref="E5:F5"/>
    <mergeCell ref="G5:H5"/>
    <mergeCell ref="C6:D6"/>
    <mergeCell ref="E6:F6"/>
    <mergeCell ref="G6:H6"/>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33:H33"/>
    <mergeCell ref="F34:H34"/>
    <mergeCell ref="F24:H24"/>
    <mergeCell ref="F25:H25"/>
    <mergeCell ref="F28:H28"/>
    <mergeCell ref="F29:H29"/>
    <mergeCell ref="F30:H30"/>
    <mergeCell ref="F31:H31"/>
    <mergeCell ref="F32:H32"/>
  </mergeCells>
  <dataValidations>
    <dataValidation type="list" allowBlank="1" sqref="F19">
      <formula1>"Hot - Few,Cold - Many"</formula1>
    </dataValidation>
    <dataValidation type="list" allowBlank="1" sqref="F14">
      <formula1>"Hot - Easy,Cold - Restrictive"</formula1>
    </dataValidation>
    <dataValidation type="list" allowBlank="1" sqref="F9">
      <formula1>"Hot - Vibrant,Cold - Sluggish"</formula1>
    </dataValidation>
    <dataValidation type="list" allowBlank="1" sqref="F22">
      <formula1>"Hot - Strong,Cold - Weak"</formula1>
    </dataValidation>
    <dataValidation type="list" allowBlank="1" sqref="F13">
      <formula1>"Hot - Plentiful,Cold - Scarce"</formula1>
    </dataValidation>
    <dataValidation type="list" allowBlank="1" sqref="F12">
      <formula1>"Hot - Loose,Cold - Tight"</formula1>
    </dataValidation>
    <dataValidation type="list" allowBlank="1" sqref="F20">
      <formula1>"Hot - Crowded,Cold - Starved for attention"</formula1>
    </dataValidation>
    <dataValidation type="list" allowBlank="1" sqref="F23">
      <formula1>"Hot - High,Cold - Low"</formula1>
    </dataValidation>
    <dataValidation type="list" allowBlank="1" sqref="F11">
      <formula1>"Hot - Eager,Cold - Reticent"</formula1>
    </dataValidation>
    <dataValidation type="list" allowBlank="1" sqref="F15">
      <formula1>"Hot - Low,Cold - High"</formula1>
    </dataValidation>
    <dataValidation type="list" allowBlank="1" sqref="F18">
      <formula1>"Hot - Happy to hold,Cold - Rushing for the exits"</formula1>
    </dataValidation>
    <dataValidation type="list" allowBlank="1" sqref="F16">
      <formula1>"Hot - Narrow,Cold - Wide"</formula1>
    </dataValidation>
    <dataValidation type="list" allowBlank="1" sqref="F10">
      <formula1>"Hot - Positive,Cold - Negative"</formula1>
    </dataValidation>
    <dataValidation type="list" allowBlank="1" sqref="F28:F33">
      <formula1>"Yes,No"</formula1>
    </dataValidation>
    <dataValidation type="list" allowBlank="1" sqref="F21">
      <formula1>"Hot - Hard to gain entry,Cold - Open to anyone,Hot - 
New ones daily,Cold - Only the best can raise money,Hot - GP hold the cards on terms,Cold - LP have bargaining power"</formula1>
    </dataValidation>
    <dataValidation type="list" allowBlank="1" sqref="F24">
      <formula1>"Hot - Aggressiveness,Cold - Caution and discipline,Hot - Broad reach,Cold - Selectivity"</formula1>
    </dataValidation>
    <dataValidation type="list" allowBlank="1" sqref="F17">
      <formula1>"Hot - Optimistic,Cold - Pessimistic,Hot - Sanguine,Cold - Distressed,Hot - Eager to buy,Cold - Uninterested in buying"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28.25"/>
    <col customWidth="1" min="3" max="8" width="12.63"/>
    <col customWidth="1" min="9" max="9" width="40.13"/>
  </cols>
  <sheetData>
    <row r="1">
      <c r="B1" s="1" t="s">
        <v>50</v>
      </c>
      <c r="C1" s="17" t="str">
        <f>C2&amp;" : "&amp;C3</f>
        <v>0303 : Vtech</v>
      </c>
    </row>
    <row r="2">
      <c r="B2" s="18" t="s">
        <v>51</v>
      </c>
      <c r="C2" s="19" t="s">
        <v>52</v>
      </c>
      <c r="D2" s="20"/>
    </row>
    <row r="3">
      <c r="B3" s="21" t="s">
        <v>53</v>
      </c>
      <c r="C3" s="13" t="s">
        <v>54</v>
      </c>
      <c r="D3" s="22"/>
    </row>
    <row r="4">
      <c r="B4" s="23" t="s">
        <v>55</v>
      </c>
      <c r="C4" s="24">
        <v>44462.0</v>
      </c>
      <c r="D4" s="25"/>
    </row>
    <row r="5">
      <c r="B5" s="18" t="s">
        <v>56</v>
      </c>
      <c r="C5" s="26" t="s">
        <v>57</v>
      </c>
      <c r="D5" s="20"/>
    </row>
    <row r="6">
      <c r="B6" s="21" t="s">
        <v>58</v>
      </c>
      <c r="C6" s="27" t="str">
        <f>IFERROR(__xludf.DUMMYFUNCTION("""$""&amp;GOOGLEFINANCE(ex_abbr(C5)&amp;"":""&amp;C2)"),"$52.1")</f>
        <v>$52.1</v>
      </c>
      <c r="D6" s="28" t="str">
        <f>IFERROR(__xludf.DUMMYFUNCTION("GOOGLEFINANCE(ex_abbr(C5)&amp;"":""&amp;C2,""Currency"")"),"HKD")</f>
        <v>HKD</v>
      </c>
    </row>
    <row r="7">
      <c r="B7" s="21" t="s">
        <v>59</v>
      </c>
      <c r="C7" s="29">
        <f>IFERROR(__xludf.DUMMYFUNCTION("GOOGLEFINANCE(ex_abbr(C5)&amp;"":""&amp;C2,""shares"")"),2.51572133E8)</f>
        <v>251572133</v>
      </c>
      <c r="D7" s="22"/>
    </row>
    <row r="8">
      <c r="B8" s="21" t="s">
        <v>60</v>
      </c>
      <c r="C8" s="30">
        <f>C6*C7/1000000</f>
        <v>13106.90813</v>
      </c>
      <c r="D8" s="22"/>
    </row>
    <row r="9">
      <c r="B9" s="18" t="s">
        <v>61</v>
      </c>
      <c r="C9" s="31">
        <f>Asm!C6/((Data!F3*Asm!C12)/(Asm!C7/Data!F2))</f>
        <v>7.321866367</v>
      </c>
      <c r="D9" s="20"/>
    </row>
    <row r="10">
      <c r="B10" s="23" t="s">
        <v>62</v>
      </c>
      <c r="C10" s="32">
        <f>Asm!C6/(IF(Data!Q6="",Data!Q7,Data!Q6)*Data!F2/Cs_Shares)</f>
        <v>2.305930354</v>
      </c>
      <c r="D10" s="25"/>
    </row>
    <row r="11">
      <c r="B11" s="18" t="s">
        <v>63</v>
      </c>
      <c r="C11" s="26" t="s">
        <v>64</v>
      </c>
      <c r="D11" s="20"/>
    </row>
    <row r="12">
      <c r="B12" s="23" t="s">
        <v>65</v>
      </c>
      <c r="C12" s="33">
        <f>IFERROR(__xludf.DUMMYFUNCTION("if(D12=""NA"",1,GOOGLEFINANCE(""Currency:""&amp;D12))"),1.0)</f>
        <v>1</v>
      </c>
      <c r="D12" s="34" t="str">
        <f>IF(C11=Asm!D6,"NA",C11&amp;Asm!D6)</f>
        <v>NA</v>
      </c>
    </row>
    <row r="13">
      <c r="E13" s="35"/>
    </row>
    <row r="14">
      <c r="B14" s="1" t="s">
        <v>0</v>
      </c>
      <c r="C14" s="36" t="s">
        <v>66</v>
      </c>
      <c r="D14" s="5"/>
      <c r="E14" s="36" t="s">
        <v>67</v>
      </c>
      <c r="F14" s="5"/>
      <c r="G14" s="36" t="s">
        <v>68</v>
      </c>
      <c r="H14" s="5"/>
    </row>
    <row r="15">
      <c r="B15" s="37" t="s">
        <v>69</v>
      </c>
      <c r="C15" s="38">
        <f>Asm!D37</f>
        <v>4</v>
      </c>
      <c r="D15" s="5"/>
      <c r="E15" s="38">
        <f>Asm!E37</f>
        <v>5</v>
      </c>
      <c r="F15" s="5"/>
      <c r="G15" s="38">
        <f>Asm!F37</f>
        <v>6</v>
      </c>
      <c r="H15" s="5"/>
    </row>
    <row r="16">
      <c r="B16" s="37" t="s">
        <v>70</v>
      </c>
      <c r="C16" s="39">
        <f>Asm!D39</f>
        <v>0.05198789486</v>
      </c>
      <c r="D16" s="5"/>
      <c r="E16" s="39">
        <f>Asm!E39</f>
        <v>0.04946693882</v>
      </c>
      <c r="F16" s="5"/>
      <c r="G16" s="39">
        <f>Asm!F39</f>
        <v>0.04306939822</v>
      </c>
      <c r="H16" s="5"/>
    </row>
    <row r="17">
      <c r="B17" s="37" t="s">
        <v>71</v>
      </c>
      <c r="C17" s="39">
        <f>Asm!D40</f>
        <v>0.1363853539</v>
      </c>
      <c r="D17" s="5"/>
      <c r="E17" s="39">
        <f>Asm!E40</f>
        <v>0.1297663663</v>
      </c>
      <c r="F17" s="5"/>
      <c r="G17" s="39">
        <f>Asm!F40</f>
        <v>0.1129837309</v>
      </c>
      <c r="H17" s="5"/>
    </row>
    <row r="18">
      <c r="B18" s="37" t="s">
        <v>72</v>
      </c>
      <c r="C18" s="39">
        <f>Asm!D41</f>
        <v>0.3811838543</v>
      </c>
      <c r="D18" s="5"/>
      <c r="E18" s="39">
        <f>Asm!E41</f>
        <v>0.3811999999</v>
      </c>
      <c r="F18" s="5"/>
      <c r="G18" s="39">
        <f>Asm!F41</f>
        <v>0.3811999999</v>
      </c>
      <c r="H18" s="5"/>
    </row>
    <row r="19">
      <c r="B19" s="3" t="s">
        <v>1</v>
      </c>
      <c r="C19" s="40">
        <f>'Bear Model'!E39</f>
        <v>83.35212878</v>
      </c>
      <c r="D19" s="5"/>
      <c r="E19" s="40">
        <f>'Base Model'!E39</f>
        <v>86.72760744</v>
      </c>
      <c r="F19" s="5"/>
      <c r="G19" s="40">
        <f>'Bull Model'!E39</f>
        <v>88.18870222</v>
      </c>
      <c r="H19" s="5"/>
    </row>
    <row r="20">
      <c r="B20" s="3" t="s">
        <v>2</v>
      </c>
      <c r="C20" s="6">
        <f>H115</f>
        <v>0.1119791667</v>
      </c>
      <c r="D20" s="7"/>
      <c r="E20" s="7"/>
      <c r="F20" s="7"/>
      <c r="G20" s="7"/>
      <c r="H20" s="5"/>
    </row>
    <row r="21">
      <c r="B21" s="3" t="s">
        <v>3</v>
      </c>
      <c r="C21" s="41">
        <f>Asm!C19*(1-C20)</f>
        <v>74.01842686</v>
      </c>
      <c r="D21" s="5"/>
      <c r="E21" s="41">
        <f>Asm!E19*(1-C20)</f>
        <v>77.01592223</v>
      </c>
      <c r="F21" s="5"/>
      <c r="G21" s="41">
        <f>Asm!G19*(1-C20)</f>
        <v>78.31340483</v>
      </c>
      <c r="H21" s="5"/>
    </row>
    <row r="22">
      <c r="B22" s="3" t="s">
        <v>73</v>
      </c>
      <c r="C22" s="41">
        <f>C21/Data!$F$3</f>
        <v>0.0413486556</v>
      </c>
      <c r="D22" s="5"/>
      <c r="E22" s="41">
        <f>E21/Data!$F$3</f>
        <v>0.04302313598</v>
      </c>
      <c r="F22" s="5"/>
      <c r="G22" s="41">
        <f>G21/Data!$F$3</f>
        <v>0.04374794416</v>
      </c>
      <c r="H22" s="5"/>
    </row>
    <row r="24">
      <c r="B24" s="1" t="s">
        <v>74</v>
      </c>
      <c r="C24" s="42"/>
    </row>
    <row r="25">
      <c r="B25" s="43" t="s">
        <v>75</v>
      </c>
      <c r="C25" s="44">
        <v>0.03</v>
      </c>
      <c r="D25" s="5"/>
      <c r="F25" s="35"/>
    </row>
    <row r="26">
      <c r="B26" s="43" t="s">
        <v>76</v>
      </c>
      <c r="C26" s="44">
        <f>C25+4.5%</f>
        <v>0.075</v>
      </c>
      <c r="D26" s="5"/>
      <c r="F26" s="35"/>
    </row>
    <row r="27">
      <c r="B27" s="43" t="s">
        <v>77</v>
      </c>
      <c r="C27" s="45">
        <f>C25+6.75%</f>
        <v>0.0975</v>
      </c>
      <c r="D27" s="5"/>
      <c r="F27" s="35"/>
    </row>
    <row r="28">
      <c r="B28" s="43"/>
      <c r="F28" s="35"/>
    </row>
    <row r="29">
      <c r="B29" s="46" t="s">
        <v>78</v>
      </c>
      <c r="C29" s="47"/>
      <c r="F29" s="35"/>
    </row>
    <row r="30" ht="27.75" customHeight="1">
      <c r="B30" s="48" t="s">
        <v>79</v>
      </c>
      <c r="C30" s="49" t="s">
        <v>80</v>
      </c>
      <c r="D30" s="7"/>
      <c r="E30" s="7"/>
      <c r="F30" s="7"/>
      <c r="G30" s="7"/>
      <c r="H30" s="7"/>
      <c r="I30" s="5"/>
    </row>
    <row r="31">
      <c r="B31" s="50" t="s">
        <v>81</v>
      </c>
      <c r="C31" s="51" t="s">
        <v>82</v>
      </c>
      <c r="D31" s="7"/>
      <c r="E31" s="7"/>
      <c r="F31" s="7"/>
      <c r="G31" s="7"/>
      <c r="H31" s="7"/>
      <c r="I31" s="5"/>
    </row>
    <row r="32">
      <c r="B32" s="50" t="s">
        <v>83</v>
      </c>
      <c r="C32" s="51" t="s">
        <v>84</v>
      </c>
      <c r="D32" s="7"/>
      <c r="E32" s="7"/>
      <c r="F32" s="7"/>
      <c r="G32" s="7"/>
      <c r="H32" s="7"/>
      <c r="I32" s="5"/>
    </row>
    <row r="33">
      <c r="B33" s="50" t="s">
        <v>85</v>
      </c>
      <c r="C33" s="51" t="s">
        <v>86</v>
      </c>
      <c r="D33" s="7"/>
      <c r="E33" s="7"/>
      <c r="F33" s="7"/>
      <c r="G33" s="7"/>
      <c r="H33" s="7"/>
      <c r="I33" s="5"/>
    </row>
    <row r="34">
      <c r="F34" s="35"/>
    </row>
    <row r="35">
      <c r="D35" s="36" t="s">
        <v>87</v>
      </c>
      <c r="E35" s="7"/>
      <c r="F35" s="5"/>
      <c r="G35" s="52" t="s">
        <v>88</v>
      </c>
      <c r="H35" s="53"/>
    </row>
    <row r="36">
      <c r="B36" s="54" t="s">
        <v>89</v>
      </c>
      <c r="C36" s="52" t="s">
        <v>90</v>
      </c>
      <c r="D36" s="36" t="s">
        <v>66</v>
      </c>
      <c r="E36" s="55" t="s">
        <v>67</v>
      </c>
      <c r="F36" s="56" t="s">
        <v>68</v>
      </c>
      <c r="G36" s="36" t="s">
        <v>67</v>
      </c>
      <c r="H36" s="36" t="s">
        <v>91</v>
      </c>
      <c r="I36" s="5"/>
    </row>
    <row r="37" ht="30.0" customHeight="1">
      <c r="B37" s="57" t="s">
        <v>92</v>
      </c>
      <c r="C37" s="58"/>
      <c r="D37" s="59">
        <v>4.0</v>
      </c>
      <c r="E37" s="59">
        <v>5.0</v>
      </c>
      <c r="F37" s="59">
        <v>6.0</v>
      </c>
      <c r="G37" s="60"/>
      <c r="H37" s="61"/>
      <c r="I37" s="5"/>
    </row>
    <row r="38" ht="30.0" customHeight="1">
      <c r="B38" s="57" t="s">
        <v>93</v>
      </c>
      <c r="C38" s="62">
        <f>'Base Model'!$B$14</f>
        <v>0.112277077</v>
      </c>
      <c r="D38" s="63">
        <f>AVERAGE('Bear Model'!C14:L14)</f>
        <v>0.108</v>
      </c>
      <c r="E38" s="64">
        <f>AVERAGE('Base Model'!C14:L14)</f>
        <v>0.0646</v>
      </c>
      <c r="F38" s="63">
        <f>AVERAGE('Bull Model'!C14:L14)</f>
        <v>0.1083333333</v>
      </c>
      <c r="G38" s="65">
        <f>'Base Model'!B14</f>
        <v>0.112277077</v>
      </c>
      <c r="H38" s="61"/>
      <c r="I38" s="5"/>
    </row>
    <row r="39" ht="30.0" customHeight="1">
      <c r="B39" s="57" t="s">
        <v>94</v>
      </c>
      <c r="C39" s="62">
        <f>if(Data!$G$6="",Data!$G$7,Data!$G$6)</f>
        <v>0.2019790454</v>
      </c>
      <c r="D39" s="63">
        <f>Iferror(GEOMEAN('Bear Model'!C17:L17),AVERAGE('Bear Model'!C17:L17))</f>
        <v>0.05198789486</v>
      </c>
      <c r="E39" s="64">
        <f>Iferror(GEOMEAN('Base Model'!C17:L17),AVERAGE('Base Model'!C17:L17))</f>
        <v>0.04946693882</v>
      </c>
      <c r="F39" s="63">
        <f>Iferror(GEOMEAN('Bull Model'!C17:L17),AVERAGE('Bull Model'!C17:L17))</f>
        <v>0.04306939822</v>
      </c>
      <c r="G39" s="65">
        <f>C25</f>
        <v>0.03</v>
      </c>
      <c r="H39" s="61"/>
      <c r="I39" s="5"/>
    </row>
    <row r="40" ht="30.0" customHeight="1">
      <c r="B40" s="57" t="s">
        <v>95</v>
      </c>
      <c r="C40" s="62">
        <f>'Base Model'!B22</f>
        <v>0.1937046005</v>
      </c>
      <c r="D40" s="66">
        <f t="shared" ref="D40:G40" si="1">D39/D41</f>
        <v>0.1363853539</v>
      </c>
      <c r="E40" s="62">
        <f t="shared" si="1"/>
        <v>0.1297663663</v>
      </c>
      <c r="F40" s="66">
        <f t="shared" si="1"/>
        <v>0.1129837309</v>
      </c>
      <c r="G40" s="67">
        <f t="shared" si="1"/>
        <v>0.3076923077</v>
      </c>
      <c r="H40" s="61"/>
      <c r="I40" s="5"/>
    </row>
    <row r="41" ht="30.0" customHeight="1">
      <c r="B41" s="57" t="s">
        <v>96</v>
      </c>
      <c r="C41" s="62">
        <f>'Base Model'!B21</f>
        <v>0.3811838543</v>
      </c>
      <c r="D41" s="66">
        <f>average('Bear Model'!C21:L21)</f>
        <v>0.3811838543</v>
      </c>
      <c r="E41" s="62">
        <f>average('Base Model'!C21:L21)</f>
        <v>0.3811999999</v>
      </c>
      <c r="F41" s="66">
        <f>average('Bull Model'!C21:L21)</f>
        <v>0.3811999999</v>
      </c>
      <c r="G41" s="67">
        <f>C27</f>
        <v>0.0975</v>
      </c>
      <c r="H41" s="61"/>
      <c r="I41" s="5"/>
    </row>
    <row r="43">
      <c r="B43" s="1" t="s">
        <v>97</v>
      </c>
      <c r="C43" s="68"/>
      <c r="D43" s="69"/>
    </row>
    <row r="44">
      <c r="B44" s="11" t="s">
        <v>98</v>
      </c>
      <c r="D44" s="69"/>
    </row>
    <row r="45">
      <c r="B45" s="11" t="s">
        <v>99</v>
      </c>
      <c r="D45" s="69"/>
    </row>
    <row r="46">
      <c r="B46" s="11" t="s">
        <v>100</v>
      </c>
      <c r="E46" s="70"/>
      <c r="G46" s="71">
        <f>sum(G47:G54)/(8*4)</f>
        <v>0.5625</v>
      </c>
      <c r="H46" s="15" t="str">
        <f>IF(G46&gt;80%,"Very High",IF(G46&lt;=20%,"Very Low",IF(G46&lt;=40%,"Low",IF(G46&lt;=60%,"Medium","High"))))</f>
        <v>Medium</v>
      </c>
    </row>
    <row r="47">
      <c r="B47" s="11" t="s">
        <v>101</v>
      </c>
      <c r="E47" s="70"/>
      <c r="G47" s="72">
        <f t="shared" ref="G47:G54" si="2">ratingValue(H47)</f>
        <v>0</v>
      </c>
      <c r="H47" s="13" t="s">
        <v>102</v>
      </c>
    </row>
    <row r="48">
      <c r="B48" s="11" t="s">
        <v>103</v>
      </c>
      <c r="E48" s="70"/>
      <c r="G48" s="72">
        <f t="shared" si="2"/>
        <v>4</v>
      </c>
      <c r="H48" s="13" t="s">
        <v>104</v>
      </c>
    </row>
    <row r="49">
      <c r="B49" s="11" t="s">
        <v>105</v>
      </c>
      <c r="E49" s="70"/>
      <c r="G49" s="72">
        <f t="shared" si="2"/>
        <v>4</v>
      </c>
      <c r="H49" s="13" t="s">
        <v>104</v>
      </c>
    </row>
    <row r="50">
      <c r="B50" s="11" t="s">
        <v>106</v>
      </c>
      <c r="E50" s="70"/>
      <c r="G50" s="72">
        <f t="shared" si="2"/>
        <v>1</v>
      </c>
      <c r="H50" s="13" t="s">
        <v>107</v>
      </c>
    </row>
    <row r="51">
      <c r="B51" s="11" t="s">
        <v>108</v>
      </c>
      <c r="E51" s="70"/>
      <c r="G51" s="72">
        <f t="shared" si="2"/>
        <v>1</v>
      </c>
      <c r="H51" s="13" t="s">
        <v>107</v>
      </c>
    </row>
    <row r="52">
      <c r="B52" s="11" t="s">
        <v>109</v>
      </c>
      <c r="E52" s="70"/>
      <c r="G52" s="72">
        <f t="shared" si="2"/>
        <v>4</v>
      </c>
      <c r="H52" s="13" t="s">
        <v>104</v>
      </c>
    </row>
    <row r="53">
      <c r="B53" s="11" t="s">
        <v>110</v>
      </c>
      <c r="E53" s="70"/>
      <c r="G53" s="72">
        <f t="shared" si="2"/>
        <v>4</v>
      </c>
      <c r="H53" s="13" t="s">
        <v>104</v>
      </c>
    </row>
    <row r="54">
      <c r="B54" s="11" t="s">
        <v>111</v>
      </c>
      <c r="G54" s="72">
        <f t="shared" si="2"/>
        <v>0</v>
      </c>
      <c r="H54" s="13" t="s">
        <v>102</v>
      </c>
    </row>
    <row r="55">
      <c r="G55" s="12"/>
      <c r="H55" s="69"/>
    </row>
    <row r="56">
      <c r="B56" s="11" t="s">
        <v>112</v>
      </c>
      <c r="E56" s="70"/>
      <c r="G56" s="71">
        <f>SUM(G57:G62)/(6*4)</f>
        <v>0.04166666667</v>
      </c>
      <c r="H56" s="15" t="str">
        <f>IF(G56&gt;80%,"Very High",IF(G56&lt;=20%,"Very Low",IF(G56&lt;=40%,"Low",IF(G56&lt;=60%,"Medium","High"))))</f>
        <v>Very Low</v>
      </c>
    </row>
    <row r="57">
      <c r="B57" s="11" t="s">
        <v>113</v>
      </c>
      <c r="E57" s="70"/>
      <c r="G57" s="72">
        <f t="shared" ref="G57:G62" si="3">ratingValue(H57)</f>
        <v>0</v>
      </c>
      <c r="H57" s="13" t="s">
        <v>102</v>
      </c>
    </row>
    <row r="58">
      <c r="B58" s="11" t="s">
        <v>114</v>
      </c>
      <c r="E58" s="70"/>
      <c r="G58" s="72">
        <f t="shared" si="3"/>
        <v>1</v>
      </c>
      <c r="H58" s="13" t="s">
        <v>107</v>
      </c>
    </row>
    <row r="59">
      <c r="B59" s="11" t="s">
        <v>115</v>
      </c>
      <c r="E59" s="70"/>
      <c r="G59" s="72">
        <f t="shared" si="3"/>
        <v>0</v>
      </c>
      <c r="H59" s="13" t="s">
        <v>102</v>
      </c>
    </row>
    <row r="60">
      <c r="B60" s="11" t="s">
        <v>116</v>
      </c>
      <c r="E60" s="70"/>
      <c r="G60" s="72">
        <f t="shared" si="3"/>
        <v>0</v>
      </c>
      <c r="H60" s="13" t="s">
        <v>102</v>
      </c>
    </row>
    <row r="61">
      <c r="B61" s="11" t="s">
        <v>117</v>
      </c>
      <c r="E61" s="70"/>
      <c r="G61" s="72">
        <f t="shared" si="3"/>
        <v>0</v>
      </c>
      <c r="H61" s="13" t="s">
        <v>102</v>
      </c>
    </row>
    <row r="62">
      <c r="B62" s="11" t="s">
        <v>118</v>
      </c>
      <c r="E62" s="70"/>
      <c r="G62" s="72">
        <f t="shared" si="3"/>
        <v>0</v>
      </c>
      <c r="H62" s="13" t="s">
        <v>102</v>
      </c>
    </row>
    <row r="63">
      <c r="G63" s="12"/>
      <c r="H63" s="69"/>
      <c r="I63" s="69"/>
    </row>
    <row r="64">
      <c r="B64" s="11" t="s">
        <v>119</v>
      </c>
      <c r="E64" s="70"/>
      <c r="G64" s="71">
        <f>SUM(G65:G72)/(8*4)</f>
        <v>0.34375</v>
      </c>
      <c r="H64" s="15" t="str">
        <f>IF(G64&gt;80%,"Very High",IF(G64&lt;=20%,"Very Low",IF(G64&lt;=40%,"Low",IF(G64&lt;=60%,"Medium","High"))))</f>
        <v>Low</v>
      </c>
    </row>
    <row r="65">
      <c r="B65" s="11" t="s">
        <v>120</v>
      </c>
      <c r="E65" s="70"/>
      <c r="G65" s="72">
        <f t="shared" ref="G65:G72" si="4">ratingValue(H65)</f>
        <v>0</v>
      </c>
      <c r="H65" s="13" t="s">
        <v>102</v>
      </c>
    </row>
    <row r="66">
      <c r="B66" s="11" t="s">
        <v>121</v>
      </c>
      <c r="E66" s="70"/>
      <c r="G66" s="72">
        <f t="shared" si="4"/>
        <v>1</v>
      </c>
      <c r="H66" s="13" t="s">
        <v>107</v>
      </c>
    </row>
    <row r="67">
      <c r="B67" s="11" t="s">
        <v>122</v>
      </c>
      <c r="E67" s="70"/>
      <c r="G67" s="72">
        <f t="shared" si="4"/>
        <v>4</v>
      </c>
      <c r="H67" s="13" t="s">
        <v>104</v>
      </c>
    </row>
    <row r="68">
      <c r="B68" s="11" t="s">
        <v>123</v>
      </c>
      <c r="E68" s="70"/>
      <c r="G68" s="72">
        <f t="shared" si="4"/>
        <v>0</v>
      </c>
      <c r="H68" s="13" t="s">
        <v>102</v>
      </c>
    </row>
    <row r="69">
      <c r="B69" s="11" t="s">
        <v>124</v>
      </c>
      <c r="E69" s="70"/>
      <c r="G69" s="72">
        <f t="shared" si="4"/>
        <v>0</v>
      </c>
      <c r="H69" s="13" t="s">
        <v>102</v>
      </c>
    </row>
    <row r="70">
      <c r="B70" s="11" t="s">
        <v>125</v>
      </c>
      <c r="E70" s="70"/>
      <c r="G70" s="72">
        <f t="shared" si="4"/>
        <v>0</v>
      </c>
      <c r="H70" s="13" t="s">
        <v>102</v>
      </c>
    </row>
    <row r="71">
      <c r="B71" s="11" t="s">
        <v>126</v>
      </c>
      <c r="E71" s="70"/>
      <c r="G71" s="72">
        <f t="shared" si="4"/>
        <v>2</v>
      </c>
      <c r="H71" s="13" t="s">
        <v>127</v>
      </c>
    </row>
    <row r="72">
      <c r="B72" s="11" t="s">
        <v>128</v>
      </c>
      <c r="E72" s="70"/>
      <c r="G72" s="72">
        <f t="shared" si="4"/>
        <v>4</v>
      </c>
      <c r="H72" s="13" t="s">
        <v>104</v>
      </c>
    </row>
    <row r="73">
      <c r="G73" s="12"/>
      <c r="H73" s="69"/>
    </row>
    <row r="74">
      <c r="B74" s="11" t="s">
        <v>129</v>
      </c>
      <c r="E74" s="70"/>
      <c r="G74" s="71">
        <f>SUM(G75:G77)/(3*4)</f>
        <v>0.75</v>
      </c>
      <c r="H74" s="15" t="str">
        <f>IF(G74&gt;80%,"Very High",IF(G74&lt;=20%,"Very Low",IF(G74&lt;=40%,"Low",IF(G74&lt;=60%,"Medium","High"))))</f>
        <v>High</v>
      </c>
    </row>
    <row r="75">
      <c r="B75" s="11" t="s">
        <v>130</v>
      </c>
      <c r="E75" s="70"/>
      <c r="G75" s="72">
        <f t="shared" ref="G75:G77" si="5">ratingValue(H75)</f>
        <v>2</v>
      </c>
      <c r="H75" s="13" t="s">
        <v>127</v>
      </c>
    </row>
    <row r="76">
      <c r="B76" s="11" t="s">
        <v>131</v>
      </c>
      <c r="E76" s="70"/>
      <c r="G76" s="72">
        <f t="shared" si="5"/>
        <v>4</v>
      </c>
      <c r="H76" s="13" t="s">
        <v>104</v>
      </c>
    </row>
    <row r="77">
      <c r="B77" s="11" t="s">
        <v>132</v>
      </c>
      <c r="E77" s="70"/>
      <c r="G77" s="72">
        <f t="shared" si="5"/>
        <v>3</v>
      </c>
      <c r="H77" s="13" t="s">
        <v>133</v>
      </c>
    </row>
    <row r="78">
      <c r="G78" s="12"/>
      <c r="H78" s="69"/>
    </row>
    <row r="79">
      <c r="B79" s="11" t="s">
        <v>134</v>
      </c>
      <c r="E79" s="70"/>
      <c r="G79" s="71">
        <f>SUM(G80:G88)/(9*4)</f>
        <v>0.6388888889</v>
      </c>
      <c r="H79" s="15" t="str">
        <f>IF(G79&gt;80%,"Very High",IF(G79&lt;=20%,"Very Low",IF(G79&lt;=40%,"Low",IF(G79&lt;=60%,"Medium","High"))))</f>
        <v>High</v>
      </c>
    </row>
    <row r="80">
      <c r="B80" s="11" t="s">
        <v>135</v>
      </c>
      <c r="E80" s="70"/>
      <c r="G80" s="72">
        <f t="shared" ref="G80:G88" si="6">ratingValue(H80)</f>
        <v>3</v>
      </c>
      <c r="H80" s="13" t="s">
        <v>133</v>
      </c>
    </row>
    <row r="81">
      <c r="B81" s="11" t="s">
        <v>136</v>
      </c>
      <c r="E81" s="70"/>
      <c r="G81" s="72">
        <f t="shared" si="6"/>
        <v>4</v>
      </c>
      <c r="H81" s="13" t="s">
        <v>104</v>
      </c>
    </row>
    <row r="82">
      <c r="B82" s="11" t="s">
        <v>137</v>
      </c>
      <c r="E82" s="70"/>
      <c r="G82" s="72">
        <f t="shared" si="6"/>
        <v>2</v>
      </c>
      <c r="H82" s="13" t="s">
        <v>127</v>
      </c>
    </row>
    <row r="83">
      <c r="B83" s="11" t="s">
        <v>138</v>
      </c>
      <c r="E83" s="70"/>
      <c r="G83" s="72">
        <f t="shared" si="6"/>
        <v>2</v>
      </c>
      <c r="H83" s="13" t="s">
        <v>127</v>
      </c>
    </row>
    <row r="84">
      <c r="B84" s="11" t="s">
        <v>139</v>
      </c>
      <c r="E84" s="70"/>
      <c r="G84" s="72">
        <f t="shared" si="6"/>
        <v>4</v>
      </c>
      <c r="H84" s="13" t="s">
        <v>104</v>
      </c>
    </row>
    <row r="85">
      <c r="B85" s="11" t="s">
        <v>140</v>
      </c>
      <c r="E85" s="70"/>
      <c r="G85" s="72">
        <f t="shared" si="6"/>
        <v>1</v>
      </c>
      <c r="H85" s="13" t="s">
        <v>107</v>
      </c>
    </row>
    <row r="86">
      <c r="B86" s="11" t="s">
        <v>141</v>
      </c>
      <c r="E86" s="70"/>
      <c r="G86" s="72">
        <f t="shared" si="6"/>
        <v>3</v>
      </c>
      <c r="H86" s="13" t="s">
        <v>133</v>
      </c>
    </row>
    <row r="87">
      <c r="B87" s="11" t="s">
        <v>142</v>
      </c>
      <c r="E87" s="70"/>
      <c r="G87" s="72">
        <f t="shared" si="6"/>
        <v>4</v>
      </c>
      <c r="H87" s="13" t="s">
        <v>104</v>
      </c>
    </row>
    <row r="88">
      <c r="B88" s="11" t="s">
        <v>143</v>
      </c>
      <c r="E88" s="70"/>
      <c r="G88" s="72">
        <f t="shared" si="6"/>
        <v>0</v>
      </c>
      <c r="H88" s="13" t="s">
        <v>102</v>
      </c>
    </row>
    <row r="89">
      <c r="G89" s="12"/>
      <c r="H89" s="69"/>
    </row>
    <row r="90">
      <c r="B90" s="11" t="s">
        <v>144</v>
      </c>
      <c r="E90" s="70"/>
      <c r="G90" s="71">
        <f>1-AVERAGE(G46,G56,G64,G74,G79)</f>
        <v>0.5326388889</v>
      </c>
      <c r="H90" s="15" t="str">
        <f>IF(G90&gt;80%,"Very High",IF(G90&lt;=20%,"Very Low",IF(G90&lt;=40%,"Low",IF(G90&lt;=60%,"Medium","High"))))</f>
        <v>Medium</v>
      </c>
    </row>
    <row r="91">
      <c r="B91" s="11" t="s">
        <v>145</v>
      </c>
      <c r="E91" s="70"/>
      <c r="H91" s="73">
        <f>ROUND((G90)*10,0)</f>
        <v>5</v>
      </c>
    </row>
    <row r="93">
      <c r="B93" s="1" t="s">
        <v>146</v>
      </c>
      <c r="C93" s="68"/>
    </row>
    <row r="94">
      <c r="B94" s="74" t="s">
        <v>147</v>
      </c>
      <c r="C94" s="75"/>
      <c r="D94" s="75"/>
      <c r="E94" s="75"/>
      <c r="F94" s="75"/>
      <c r="G94" s="12"/>
      <c r="H94" s="70"/>
      <c r="I94" s="70"/>
    </row>
    <row r="95">
      <c r="B95" s="11" t="s">
        <v>148</v>
      </c>
      <c r="G95" s="12">
        <f t="shared" ref="G95:G97" si="7">ratingValue(H95)</f>
        <v>4</v>
      </c>
      <c r="H95" s="13" t="s">
        <v>104</v>
      </c>
    </row>
    <row r="96">
      <c r="B96" s="76" t="s">
        <v>149</v>
      </c>
      <c r="C96" s="75"/>
      <c r="D96" s="75"/>
      <c r="E96" s="75"/>
      <c r="F96" s="75"/>
      <c r="G96" s="12">
        <f t="shared" si="7"/>
        <v>3</v>
      </c>
      <c r="H96" s="13" t="s">
        <v>133</v>
      </c>
    </row>
    <row r="97">
      <c r="B97" s="11" t="s">
        <v>150</v>
      </c>
      <c r="G97" s="12">
        <f t="shared" si="7"/>
        <v>3</v>
      </c>
      <c r="H97" s="13" t="s">
        <v>133</v>
      </c>
    </row>
    <row r="98">
      <c r="B98" s="77" t="s">
        <v>151</v>
      </c>
      <c r="H98" s="78">
        <f>IF(AVERAGE(G95:G97)&gt;=3,15%,if(AVERAGE(G95:G97)&gt;=2,25%,80%))</f>
        <v>0.15</v>
      </c>
    </row>
    <row r="99">
      <c r="B99" s="79" t="s">
        <v>152</v>
      </c>
      <c r="C99" s="80"/>
    </row>
    <row r="100">
      <c r="B100" s="14" t="s">
        <v>153</v>
      </c>
      <c r="C100" s="80"/>
    </row>
    <row r="101">
      <c r="B101" s="11" t="s">
        <v>154</v>
      </c>
      <c r="G101" s="12">
        <f t="shared" ref="G101:G102" si="8">ratingValue(H101)</f>
        <v>3</v>
      </c>
      <c r="H101" s="13" t="s">
        <v>133</v>
      </c>
    </row>
    <row r="102">
      <c r="B102" s="11" t="s">
        <v>155</v>
      </c>
      <c r="G102" s="12">
        <f t="shared" si="8"/>
        <v>3</v>
      </c>
      <c r="H102" s="13" t="s">
        <v>133</v>
      </c>
    </row>
    <row r="103">
      <c r="B103" s="14" t="s">
        <v>156</v>
      </c>
      <c r="G103" s="12"/>
      <c r="H103" s="70"/>
      <c r="I103" s="70"/>
    </row>
    <row r="104">
      <c r="B104" s="11" t="s">
        <v>157</v>
      </c>
      <c r="G104" s="12">
        <f t="shared" ref="G104:G106" si="9">ratingValue(H104)</f>
        <v>3</v>
      </c>
      <c r="H104" s="13" t="s">
        <v>133</v>
      </c>
    </row>
    <row r="105">
      <c r="B105" s="11" t="s">
        <v>158</v>
      </c>
      <c r="G105" s="12">
        <f t="shared" si="9"/>
        <v>4</v>
      </c>
      <c r="H105" s="13" t="s">
        <v>104</v>
      </c>
    </row>
    <row r="106">
      <c r="B106" s="11" t="s">
        <v>159</v>
      </c>
      <c r="G106" s="12">
        <f t="shared" si="9"/>
        <v>3</v>
      </c>
      <c r="H106" s="13" t="s">
        <v>133</v>
      </c>
    </row>
    <row r="107">
      <c r="B107" s="14" t="s">
        <v>160</v>
      </c>
      <c r="G107" s="12"/>
      <c r="H107" s="70"/>
      <c r="I107" s="70"/>
    </row>
    <row r="108">
      <c r="B108" s="11" t="s">
        <v>161</v>
      </c>
      <c r="G108" s="12">
        <f t="shared" ref="G108:G109" si="10">ratingValue(H108)</f>
        <v>3</v>
      </c>
      <c r="H108" s="13" t="s">
        <v>133</v>
      </c>
    </row>
    <row r="109">
      <c r="B109" s="11" t="s">
        <v>162</v>
      </c>
      <c r="G109" s="12">
        <f t="shared" si="10"/>
        <v>2</v>
      </c>
      <c r="H109" s="16" t="str">
        <f>companyCompetitiveness(H90)</f>
        <v>unclear</v>
      </c>
    </row>
    <row r="110">
      <c r="B110" s="14" t="s">
        <v>163</v>
      </c>
      <c r="G110" s="12"/>
      <c r="H110" s="70"/>
      <c r="I110" s="70"/>
    </row>
    <row r="111">
      <c r="B111" s="11" t="s">
        <v>164</v>
      </c>
      <c r="G111" s="12">
        <f t="shared" ref="G111:G113" si="11">ratingValue(H111)</f>
        <v>3</v>
      </c>
      <c r="H111" s="13" t="s">
        <v>133</v>
      </c>
    </row>
    <row r="112">
      <c r="B112" s="11" t="s">
        <v>165</v>
      </c>
      <c r="G112" s="12">
        <f t="shared" si="11"/>
        <v>3</v>
      </c>
      <c r="H112" s="13" t="s">
        <v>133</v>
      </c>
    </row>
    <row r="113">
      <c r="B113" s="11" t="s">
        <v>166</v>
      </c>
      <c r="G113" s="12">
        <f t="shared" si="11"/>
        <v>4</v>
      </c>
      <c r="H113" s="13" t="s">
        <v>104</v>
      </c>
    </row>
    <row r="114">
      <c r="B114" s="81" t="s">
        <v>167</v>
      </c>
      <c r="G114" s="82">
        <f>AVERAGE(AVERAGE(G101:G102),AVERAGE(G104:G106),AVERAGE(G108:G109),AVERAGE(G111:G113))/4</f>
        <v>0.7604166667</v>
      </c>
      <c r="H114" s="83" t="str">
        <f>IF(G114&gt;80%,"Very Good",IF(G114&lt;=20%,"Very Poor",IF(G114&lt;=40%,"Poor",IF(G114&lt;=60%,"ok","Good"))))</f>
        <v>Good</v>
      </c>
    </row>
    <row r="115">
      <c r="B115" s="84" t="s">
        <v>168</v>
      </c>
      <c r="C115" s="75"/>
      <c r="D115" s="85"/>
      <c r="F115" s="75"/>
      <c r="G115" s="86">
        <f>1-G114</f>
        <v>0.2395833333</v>
      </c>
      <c r="H115" s="87">
        <f>(H98-10%)*G115+10%</f>
        <v>0.1119791667</v>
      </c>
    </row>
  </sheetData>
  <mergeCells count="105">
    <mergeCell ref="H47:I47"/>
    <mergeCell ref="H48:I48"/>
    <mergeCell ref="H49:I49"/>
    <mergeCell ref="H50:I50"/>
    <mergeCell ref="H51:I51"/>
    <mergeCell ref="H52:I52"/>
    <mergeCell ref="H53:I53"/>
    <mergeCell ref="H54:I54"/>
    <mergeCell ref="H56:I56"/>
    <mergeCell ref="H57:I57"/>
    <mergeCell ref="H58:I58"/>
    <mergeCell ref="H59:I59"/>
    <mergeCell ref="H60:I60"/>
    <mergeCell ref="H61:I61"/>
    <mergeCell ref="H62:I62"/>
    <mergeCell ref="H64:I64"/>
    <mergeCell ref="H65:I65"/>
    <mergeCell ref="H66:I66"/>
    <mergeCell ref="H67:I67"/>
    <mergeCell ref="H68:I68"/>
    <mergeCell ref="H69:I69"/>
    <mergeCell ref="H70:I70"/>
    <mergeCell ref="H71:I71"/>
    <mergeCell ref="H72:I72"/>
    <mergeCell ref="H74:I74"/>
    <mergeCell ref="H75:I75"/>
    <mergeCell ref="H76:I76"/>
    <mergeCell ref="H77:I77"/>
    <mergeCell ref="H79:I79"/>
    <mergeCell ref="H80:I80"/>
    <mergeCell ref="H81:I81"/>
    <mergeCell ref="H82:I82"/>
    <mergeCell ref="H83:I83"/>
    <mergeCell ref="H84:I84"/>
    <mergeCell ref="H85:I85"/>
    <mergeCell ref="H86:I86"/>
    <mergeCell ref="H87:I87"/>
    <mergeCell ref="H88:I88"/>
    <mergeCell ref="H90:I90"/>
    <mergeCell ref="H91:I91"/>
    <mergeCell ref="H95:I95"/>
    <mergeCell ref="H96:I96"/>
    <mergeCell ref="H108:I108"/>
    <mergeCell ref="H109:I109"/>
    <mergeCell ref="H111:I111"/>
    <mergeCell ref="H112:I112"/>
    <mergeCell ref="H113:I113"/>
    <mergeCell ref="H114:I114"/>
    <mergeCell ref="H115:I115"/>
    <mergeCell ref="H97:I97"/>
    <mergeCell ref="H98:I98"/>
    <mergeCell ref="H101:I101"/>
    <mergeCell ref="H102:I102"/>
    <mergeCell ref="H104:I104"/>
    <mergeCell ref="H105:I105"/>
    <mergeCell ref="H106:I106"/>
    <mergeCell ref="C2:D2"/>
    <mergeCell ref="C3:D3"/>
    <mergeCell ref="C4:D4"/>
    <mergeCell ref="C5:D5"/>
    <mergeCell ref="C7:D7"/>
    <mergeCell ref="C8:D8"/>
    <mergeCell ref="C9:D9"/>
    <mergeCell ref="C10:D10"/>
    <mergeCell ref="C11:D11"/>
    <mergeCell ref="C14:D14"/>
    <mergeCell ref="E14:F14"/>
    <mergeCell ref="G14:H14"/>
    <mergeCell ref="E15:F15"/>
    <mergeCell ref="G15:H15"/>
    <mergeCell ref="C15:D15"/>
    <mergeCell ref="C16:D16"/>
    <mergeCell ref="E16:F16"/>
    <mergeCell ref="G16:H16"/>
    <mergeCell ref="C17:D17"/>
    <mergeCell ref="E17:F17"/>
    <mergeCell ref="G17:H17"/>
    <mergeCell ref="C18:D18"/>
    <mergeCell ref="E18:F18"/>
    <mergeCell ref="G18:H18"/>
    <mergeCell ref="C19:D19"/>
    <mergeCell ref="E19:F19"/>
    <mergeCell ref="G19:H19"/>
    <mergeCell ref="C20:H20"/>
    <mergeCell ref="C21:D21"/>
    <mergeCell ref="E21:F21"/>
    <mergeCell ref="G21:H21"/>
    <mergeCell ref="C22:D22"/>
    <mergeCell ref="E22:F22"/>
    <mergeCell ref="G22:H22"/>
    <mergeCell ref="C25:D25"/>
    <mergeCell ref="C26:D26"/>
    <mergeCell ref="C27:D27"/>
    <mergeCell ref="C30:I30"/>
    <mergeCell ref="C31:I31"/>
    <mergeCell ref="C32:I32"/>
    <mergeCell ref="C33:I33"/>
    <mergeCell ref="D35:F35"/>
    <mergeCell ref="H36:I36"/>
    <mergeCell ref="H37:I37"/>
    <mergeCell ref="H38:I38"/>
    <mergeCell ref="H39:I39"/>
    <mergeCell ref="H40:I40"/>
    <mergeCell ref="H41:I41"/>
    <mergeCell ref="H46:I46"/>
  </mergeCells>
  <conditionalFormatting sqref="E46:E91">
    <cfRule type="notContainsBlanks" dxfId="0" priority="1">
      <formula>LEN(TRIM(E46))&gt;0</formula>
    </cfRule>
  </conditionalFormatting>
  <dataValidations>
    <dataValidation type="list" allowBlank="1" sqref="C5">
      <formula1>"HK,US:NASDAQ"</formula1>
    </dataValidation>
    <dataValidation type="list" allowBlank="1" sqref="C11">
      <formula1>"HKD,USD,CNY,EUR"</formula1>
    </dataValidation>
    <dataValidation type="list" allowBlank="1" sqref="H47:H54 H57:H62 H65:H72 H75:H77 H80:H88 H95:H97 H101:H102 H104:H106 H108 H111:H113">
      <formula1>"Strongly agree,agree,unclear,disagree,Strongly disagree"</formula1>
    </dataValidation>
    <dataValidation type="list" allowBlank="1" sqref="H46 H56 H64 H74 H79">
      <formula1>"Very High,High,Medium,Low,Very Low"</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18.25"/>
    <col customWidth="1" min="3" max="4" width="17.63"/>
    <col customWidth="1" min="5" max="5" width="20.88"/>
    <col customWidth="1" min="6" max="28" width="17.63"/>
  </cols>
  <sheetData>
    <row r="1">
      <c r="A1" s="88"/>
      <c r="B1" s="1" t="s">
        <v>169</v>
      </c>
      <c r="C1" s="2"/>
      <c r="D1" s="2"/>
      <c r="E1" s="2"/>
      <c r="F1" s="2"/>
    </row>
    <row r="2">
      <c r="A2" s="43"/>
      <c r="B2" s="11" t="s">
        <v>170</v>
      </c>
      <c r="C2" s="89">
        <v>2021.0</v>
      </c>
      <c r="E2" s="11" t="s">
        <v>171</v>
      </c>
      <c r="F2" s="90">
        <v>1000000.0</v>
      </c>
    </row>
    <row r="3">
      <c r="A3" s="43"/>
      <c r="B3" s="11" t="s">
        <v>172</v>
      </c>
      <c r="C3" s="89" t="s">
        <v>173</v>
      </c>
      <c r="E3" s="11" t="s">
        <v>174</v>
      </c>
      <c r="F3" s="91">
        <v>1790.1048</v>
      </c>
    </row>
    <row r="4">
      <c r="A4" s="35"/>
    </row>
    <row r="5">
      <c r="A5" s="35"/>
      <c r="B5" s="92"/>
      <c r="C5" s="93" t="s">
        <v>175</v>
      </c>
      <c r="D5" s="93" t="s">
        <v>176</v>
      </c>
      <c r="E5" s="93" t="s">
        <v>177</v>
      </c>
      <c r="F5" s="93" t="s">
        <v>178</v>
      </c>
      <c r="G5" s="93" t="s">
        <v>179</v>
      </c>
      <c r="H5" s="93" t="s">
        <v>180</v>
      </c>
      <c r="I5" s="93" t="s">
        <v>181</v>
      </c>
      <c r="J5" s="93" t="s">
        <v>182</v>
      </c>
      <c r="K5" s="93" t="s">
        <v>183</v>
      </c>
      <c r="L5" s="93" t="s">
        <v>184</v>
      </c>
      <c r="M5" s="93" t="s">
        <v>185</v>
      </c>
      <c r="N5" s="93" t="s">
        <v>186</v>
      </c>
      <c r="O5" s="93" t="s">
        <v>187</v>
      </c>
      <c r="P5" s="93" t="s">
        <v>188</v>
      </c>
      <c r="Q5" s="93" t="s">
        <v>189</v>
      </c>
      <c r="R5" s="93" t="s">
        <v>190</v>
      </c>
      <c r="S5" s="93" t="s">
        <v>191</v>
      </c>
      <c r="T5" s="93" t="s">
        <v>192</v>
      </c>
      <c r="U5" s="93" t="s">
        <v>193</v>
      </c>
      <c r="V5" s="93" t="s">
        <v>194</v>
      </c>
      <c r="W5" s="93" t="s">
        <v>195</v>
      </c>
      <c r="X5" s="93" t="s">
        <v>196</v>
      </c>
      <c r="Y5" s="93" t="s">
        <v>197</v>
      </c>
      <c r="Z5" s="93" t="s">
        <v>198</v>
      </c>
      <c r="AA5" s="93" t="s">
        <v>199</v>
      </c>
      <c r="AB5" s="93" t="s">
        <v>95</v>
      </c>
    </row>
    <row r="6">
      <c r="A6" s="94"/>
      <c r="B6" s="95" t="s">
        <v>200</v>
      </c>
      <c r="C6" s="96"/>
      <c r="D6" s="97"/>
      <c r="E6" s="96"/>
      <c r="F6" s="98" t="str">
        <f t="shared" ref="F6:F16" si="1">IF(E6="","",E6/C6)</f>
        <v/>
      </c>
      <c r="G6" s="97"/>
      <c r="H6" s="99" t="str">
        <f t="shared" ref="H6:H16" si="2">if(E6="","",E6*(1-L6))</f>
        <v/>
      </c>
      <c r="I6" s="100" t="str">
        <f>IF(Q6="","",H6/U6)</f>
        <v/>
      </c>
      <c r="J6" s="101"/>
      <c r="K6" s="102"/>
      <c r="L6" s="103"/>
      <c r="M6" s="102"/>
      <c r="N6" s="101"/>
      <c r="O6" s="101"/>
      <c r="P6" s="101"/>
      <c r="Q6" s="101"/>
      <c r="R6" s="101"/>
      <c r="S6" s="101"/>
      <c r="T6" s="101"/>
      <c r="U6" s="104" t="str">
        <f>IF(Q6="","",DebtRange+EquityRange-S6)</f>
        <v/>
      </c>
      <c r="V6" s="101"/>
      <c r="W6" s="101"/>
      <c r="X6" s="105" t="str">
        <f t="shared" ref="X6:X16" si="3">IF(Q6="","",V6-W6)</f>
        <v/>
      </c>
      <c r="Y6" s="100" t="str">
        <f t="shared" ref="Y6:Y16" si="4">IF(Q6="","",X6/C6)</f>
        <v/>
      </c>
      <c r="Z6" s="101"/>
      <c r="AA6" s="101"/>
      <c r="AB6" s="106" t="str">
        <f>IF(X6="","",(X6+AA6)/H6)</f>
        <v/>
      </c>
    </row>
    <row r="7">
      <c r="A7" s="94"/>
      <c r="B7" s="95" t="str">
        <f>"FY of "&amp;$C$2</f>
        <v>FY of 2021</v>
      </c>
      <c r="C7" s="96">
        <v>18392.0</v>
      </c>
      <c r="D7" s="98">
        <f t="shared" ref="D7:D15" si="5">IF(C8="","",C7/C8-1)</f>
        <v>0.08654811839</v>
      </c>
      <c r="E7" s="96">
        <v>2065.0</v>
      </c>
      <c r="F7" s="98">
        <f t="shared" si="1"/>
        <v>0.112277077</v>
      </c>
      <c r="G7" s="98">
        <f t="shared" ref="G7:G15" si="6">IF(E8="","",E7/E8-1)</f>
        <v>0.2019790454</v>
      </c>
      <c r="H7" s="99">
        <f t="shared" si="2"/>
        <v>1823.6015</v>
      </c>
      <c r="I7" s="100">
        <f t="shared" ref="I7:I15" si="7">IF(C8="","",H7/U8)</f>
        <v>0.4488312823</v>
      </c>
      <c r="J7" s="96"/>
      <c r="K7" s="102">
        <v>57.0</v>
      </c>
      <c r="L7" s="103">
        <v>0.1169</v>
      </c>
      <c r="M7" s="102">
        <v>0.0</v>
      </c>
      <c r="N7" s="96">
        <v>8399.0</v>
      </c>
      <c r="O7" s="96">
        <v>4066.0</v>
      </c>
      <c r="P7" s="96">
        <v>1602.0</v>
      </c>
      <c r="Q7" s="96">
        <v>5684.0</v>
      </c>
      <c r="R7" s="96">
        <v>0.0</v>
      </c>
      <c r="S7" s="96">
        <v>2673.0</v>
      </c>
      <c r="T7" s="96"/>
      <c r="U7" s="107">
        <f>IF(Q7="","",DebtRange+EquityRange-S7)</f>
        <v>4613</v>
      </c>
      <c r="V7" s="96">
        <v>371.0</v>
      </c>
      <c r="W7" s="96">
        <v>460.0</v>
      </c>
      <c r="X7" s="108">
        <f t="shared" si="3"/>
        <v>-89</v>
      </c>
      <c r="Y7" s="100">
        <f t="shared" si="4"/>
        <v>-0.004839060461</v>
      </c>
      <c r="Z7" s="108">
        <f t="shared" ref="Z7:Z16" si="8">if(N7="","",N7-(O7-P7)-S7)</f>
        <v>3262</v>
      </c>
      <c r="AA7" s="108">
        <f t="shared" ref="AA7:AA15" si="9">if(Z8="","",Z7-Z8)</f>
        <v>389</v>
      </c>
      <c r="AB7" s="100">
        <f t="shared" ref="AB7:AB16" si="10">IF(AA7="","",(X7+AA7)/H7)</f>
        <v>0.1645096256</v>
      </c>
    </row>
    <row r="8">
      <c r="A8" s="94"/>
      <c r="B8" s="95" t="str">
        <f>"FY of "&amp;$C$2-1</f>
        <v>FY of 2020</v>
      </c>
      <c r="C8" s="96">
        <v>16927.0</v>
      </c>
      <c r="D8" s="98">
        <f t="shared" si="5"/>
        <v>-0.001592544532</v>
      </c>
      <c r="E8" s="96">
        <v>1718.0</v>
      </c>
      <c r="F8" s="98">
        <f t="shared" si="1"/>
        <v>0.1014946535</v>
      </c>
      <c r="G8" s="98">
        <f t="shared" si="6"/>
        <v>0.1639566396</v>
      </c>
      <c r="H8" s="99">
        <f t="shared" si="2"/>
        <v>1544.1384</v>
      </c>
      <c r="I8" s="100">
        <f t="shared" si="7"/>
        <v>0.5315450602</v>
      </c>
      <c r="J8" s="96"/>
      <c r="K8" s="102">
        <v>58.0</v>
      </c>
      <c r="L8" s="103">
        <v>0.1012</v>
      </c>
      <c r="M8" s="102">
        <v>0.0</v>
      </c>
      <c r="N8" s="96">
        <v>6897.0</v>
      </c>
      <c r="O8" s="96">
        <v>3425.0</v>
      </c>
      <c r="P8" s="96">
        <v>1281.0</v>
      </c>
      <c r="Q8" s="96">
        <v>4662.0</v>
      </c>
      <c r="R8" s="96">
        <v>0.0</v>
      </c>
      <c r="S8" s="96">
        <v>1880.0</v>
      </c>
      <c r="T8" s="96"/>
      <c r="U8" s="107">
        <f>IF(Q8="","",DebtRange+EquityRange-S8)</f>
        <v>4063</v>
      </c>
      <c r="V8" s="96">
        <v>270.0</v>
      </c>
      <c r="W8" s="96">
        <v>447.0</v>
      </c>
      <c r="X8" s="108">
        <f t="shared" si="3"/>
        <v>-177</v>
      </c>
      <c r="Y8" s="100">
        <f t="shared" si="4"/>
        <v>-0.01045666686</v>
      </c>
      <c r="Z8" s="108">
        <f t="shared" si="8"/>
        <v>2873</v>
      </c>
      <c r="AA8" s="108">
        <f t="shared" si="9"/>
        <v>1176</v>
      </c>
      <c r="AB8" s="100">
        <f t="shared" si="10"/>
        <v>0.6469627334</v>
      </c>
    </row>
    <row r="9">
      <c r="A9" s="94"/>
      <c r="B9" s="95" t="str">
        <f>"FY of "&amp;$C$2-2</f>
        <v>FY of 2019</v>
      </c>
      <c r="C9" s="96">
        <v>16954.0</v>
      </c>
      <c r="D9" s="98">
        <f t="shared" si="5"/>
        <v>0.01917643523</v>
      </c>
      <c r="E9" s="96">
        <v>1476.0</v>
      </c>
      <c r="F9" s="98">
        <f t="shared" si="1"/>
        <v>0.0870591011</v>
      </c>
      <c r="G9" s="98">
        <f t="shared" si="6"/>
        <v>-0.1712521056</v>
      </c>
      <c r="H9" s="99">
        <f t="shared" si="2"/>
        <v>1310.5404</v>
      </c>
      <c r="I9" s="100">
        <f t="shared" si="7"/>
        <v>0.4257766082</v>
      </c>
      <c r="J9" s="101"/>
      <c r="K9" s="102">
        <v>7.0</v>
      </c>
      <c r="L9" s="103">
        <v>0.1121</v>
      </c>
      <c r="M9" s="102">
        <v>0.0</v>
      </c>
      <c r="N9" s="96">
        <v>7297.0</v>
      </c>
      <c r="O9" s="96">
        <v>3740.0</v>
      </c>
      <c r="P9" s="96">
        <v>0.0</v>
      </c>
      <c r="Q9" s="96">
        <v>4765.0</v>
      </c>
      <c r="R9" s="96">
        <v>0.0</v>
      </c>
      <c r="S9" s="96">
        <v>1860.0</v>
      </c>
      <c r="T9" s="96"/>
      <c r="U9" s="107">
        <f>IF(Q9="","",DebtRange+EquityRange-S9)</f>
        <v>2905</v>
      </c>
      <c r="V9" s="96">
        <v>220.0</v>
      </c>
      <c r="W9" s="96">
        <v>298.0</v>
      </c>
      <c r="X9" s="108">
        <f t="shared" si="3"/>
        <v>-78</v>
      </c>
      <c r="Y9" s="100">
        <f t="shared" si="4"/>
        <v>-0.004600684204</v>
      </c>
      <c r="Z9" s="108">
        <f t="shared" si="8"/>
        <v>1697</v>
      </c>
      <c r="AA9" s="108">
        <f t="shared" si="9"/>
        <v>-237</v>
      </c>
      <c r="AB9" s="100">
        <f t="shared" si="10"/>
        <v>-0.2403588626</v>
      </c>
    </row>
    <row r="10">
      <c r="A10" s="94"/>
      <c r="B10" s="95" t="str">
        <f>"FY of "&amp;$C$2-3</f>
        <v>FY of 2018</v>
      </c>
      <c r="C10" s="96">
        <v>16635.0</v>
      </c>
      <c r="D10" s="98">
        <f t="shared" si="5"/>
        <v>0.03111634538</v>
      </c>
      <c r="E10" s="96">
        <v>1781.0</v>
      </c>
      <c r="F10" s="98">
        <f t="shared" si="1"/>
        <v>0.1070634205</v>
      </c>
      <c r="G10" s="98">
        <f t="shared" si="6"/>
        <v>0.1387468031</v>
      </c>
      <c r="H10" s="99">
        <f t="shared" si="2"/>
        <v>1593.8169</v>
      </c>
      <c r="I10" s="100">
        <f t="shared" si="7"/>
        <v>0.6457929092</v>
      </c>
      <c r="J10" s="101"/>
      <c r="K10" s="102">
        <v>2.0</v>
      </c>
      <c r="L10" s="103">
        <v>0.1051</v>
      </c>
      <c r="M10" s="102">
        <v>0.0</v>
      </c>
      <c r="N10" s="96">
        <v>7487.0</v>
      </c>
      <c r="O10" s="96">
        <v>3556.0</v>
      </c>
      <c r="P10" s="96">
        <v>0.0</v>
      </c>
      <c r="Q10" s="96">
        <v>5075.0</v>
      </c>
      <c r="R10" s="96">
        <v>0.0</v>
      </c>
      <c r="S10" s="96">
        <v>1997.0</v>
      </c>
      <c r="T10" s="96"/>
      <c r="U10" s="107">
        <f>IF(Q10="","",DebtRange+EquityRange-S10)</f>
        <v>3078</v>
      </c>
      <c r="V10" s="96">
        <v>277.0</v>
      </c>
      <c r="W10" s="96">
        <v>282.0</v>
      </c>
      <c r="X10" s="108">
        <f t="shared" si="3"/>
        <v>-5</v>
      </c>
      <c r="Y10" s="100">
        <f t="shared" si="4"/>
        <v>-0.0003005710851</v>
      </c>
      <c r="Z10" s="108">
        <f t="shared" si="8"/>
        <v>1934</v>
      </c>
      <c r="AA10" s="108">
        <f t="shared" si="9"/>
        <v>489</v>
      </c>
      <c r="AB10" s="100">
        <f t="shared" si="10"/>
        <v>0.3036735274</v>
      </c>
    </row>
    <row r="11">
      <c r="A11" s="94"/>
      <c r="B11" s="95" t="str">
        <f>"FY of "&amp;$C$2-4</f>
        <v>FY of 2017</v>
      </c>
      <c r="C11" s="96">
        <v>16133.0</v>
      </c>
      <c r="D11" s="98">
        <f t="shared" si="5"/>
        <v>0.1202694257</v>
      </c>
      <c r="E11" s="96">
        <v>1564.0</v>
      </c>
      <c r="F11" s="98">
        <f t="shared" si="1"/>
        <v>0.09694415174</v>
      </c>
      <c r="G11" s="98">
        <f t="shared" si="6"/>
        <v>-0.005089058524</v>
      </c>
      <c r="H11" s="99">
        <f t="shared" si="2"/>
        <v>1376.0072</v>
      </c>
      <c r="I11" s="100">
        <f t="shared" si="7"/>
        <v>0.70384</v>
      </c>
      <c r="J11" s="101"/>
      <c r="K11" s="102">
        <v>0.0</v>
      </c>
      <c r="L11" s="103">
        <v>0.1202</v>
      </c>
      <c r="M11" s="102">
        <v>0.0</v>
      </c>
      <c r="N11" s="96">
        <v>7163.0</v>
      </c>
      <c r="O11" s="96">
        <v>3642.0</v>
      </c>
      <c r="P11" s="96">
        <v>13.0</v>
      </c>
      <c r="Q11" s="96">
        <v>4544.0</v>
      </c>
      <c r="R11" s="96">
        <v>0.0</v>
      </c>
      <c r="S11" s="96">
        <v>2089.0</v>
      </c>
      <c r="T11" s="96"/>
      <c r="U11" s="107">
        <f>IF(Q11="","",DebtRange+EquityRange-S11)</f>
        <v>2468</v>
      </c>
      <c r="V11" s="96">
        <v>265.0</v>
      </c>
      <c r="W11" s="96">
        <v>270.0</v>
      </c>
      <c r="X11" s="108">
        <f t="shared" si="3"/>
        <v>-5</v>
      </c>
      <c r="Y11" s="100">
        <f t="shared" si="4"/>
        <v>-0.0003099237588</v>
      </c>
      <c r="Z11" s="108">
        <f t="shared" si="8"/>
        <v>1445</v>
      </c>
      <c r="AA11" s="108">
        <f t="shared" si="9"/>
        <v>98</v>
      </c>
      <c r="AB11" s="100">
        <f t="shared" si="10"/>
        <v>0.06758685565</v>
      </c>
    </row>
    <row r="12">
      <c r="A12" s="94"/>
      <c r="B12" s="95" t="str">
        <f>"FY of "&amp;$C$2-5</f>
        <v>FY of 2016</v>
      </c>
      <c r="C12" s="96">
        <v>14401.0</v>
      </c>
      <c r="D12" s="98" t="str">
        <f t="shared" si="5"/>
        <v/>
      </c>
      <c r="E12" s="96">
        <v>1572.0</v>
      </c>
      <c r="F12" s="98">
        <f t="shared" si="1"/>
        <v>0.1091590862</v>
      </c>
      <c r="G12" s="98" t="str">
        <f t="shared" si="6"/>
        <v/>
      </c>
      <c r="H12" s="99">
        <f t="shared" si="2"/>
        <v>1408.6692</v>
      </c>
      <c r="I12" s="100" t="str">
        <f t="shared" si="7"/>
        <v/>
      </c>
      <c r="J12" s="101"/>
      <c r="K12" s="102">
        <v>0.0</v>
      </c>
      <c r="L12" s="103">
        <v>0.1039</v>
      </c>
      <c r="M12" s="102">
        <v>0.0</v>
      </c>
      <c r="N12" s="96">
        <v>6414.0</v>
      </c>
      <c r="O12" s="96">
        <v>2950.0</v>
      </c>
      <c r="P12" s="96">
        <v>0.0</v>
      </c>
      <c r="Q12" s="96">
        <v>4072.0</v>
      </c>
      <c r="R12" s="96">
        <v>0.0</v>
      </c>
      <c r="S12" s="96">
        <v>2117.0</v>
      </c>
      <c r="T12" s="96"/>
      <c r="U12" s="107">
        <f>IF(Q12="","",DebtRange+EquityRange-S12)</f>
        <v>1955</v>
      </c>
      <c r="V12" s="96">
        <v>318.0</v>
      </c>
      <c r="W12" s="96">
        <v>272.0</v>
      </c>
      <c r="X12" s="108">
        <f t="shared" si="3"/>
        <v>46</v>
      </c>
      <c r="Y12" s="100">
        <f t="shared" si="4"/>
        <v>0.003194222623</v>
      </c>
      <c r="Z12" s="108">
        <f t="shared" si="8"/>
        <v>1347</v>
      </c>
      <c r="AA12" s="108" t="str">
        <f t="shared" si="9"/>
        <v/>
      </c>
      <c r="AB12" s="100" t="str">
        <f t="shared" si="10"/>
        <v/>
      </c>
    </row>
    <row r="13">
      <c r="A13" s="94"/>
      <c r="B13" s="95" t="str">
        <f>"FY of "&amp;$C$2-6</f>
        <v>FY of 2015</v>
      </c>
      <c r="C13" s="96"/>
      <c r="D13" s="98" t="str">
        <f t="shared" si="5"/>
        <v/>
      </c>
      <c r="E13" s="96"/>
      <c r="F13" s="98" t="str">
        <f t="shared" si="1"/>
        <v/>
      </c>
      <c r="G13" s="98" t="str">
        <f t="shared" si="6"/>
        <v/>
      </c>
      <c r="H13" s="99" t="str">
        <f t="shared" si="2"/>
        <v/>
      </c>
      <c r="I13" s="100" t="str">
        <f t="shared" si="7"/>
        <v/>
      </c>
      <c r="J13" s="101"/>
      <c r="K13" s="109"/>
      <c r="L13" s="103"/>
      <c r="M13" s="102"/>
      <c r="N13" s="96"/>
      <c r="O13" s="96"/>
      <c r="P13" s="96"/>
      <c r="Q13" s="96"/>
      <c r="R13" s="96"/>
      <c r="S13" s="96"/>
      <c r="T13" s="96"/>
      <c r="U13" s="104" t="str">
        <f>IF(Q13="","",DebtRange+EquityRange-S13)</f>
        <v/>
      </c>
      <c r="V13" s="96"/>
      <c r="W13" s="96"/>
      <c r="X13" s="105" t="str">
        <f t="shared" si="3"/>
        <v/>
      </c>
      <c r="Y13" s="100" t="str">
        <f t="shared" si="4"/>
        <v/>
      </c>
      <c r="Z13" s="108" t="str">
        <f t="shared" si="8"/>
        <v/>
      </c>
      <c r="AA13" s="108" t="str">
        <f t="shared" si="9"/>
        <v/>
      </c>
      <c r="AB13" s="100" t="str">
        <f t="shared" si="10"/>
        <v/>
      </c>
    </row>
    <row r="14">
      <c r="A14" s="94"/>
      <c r="B14" s="95" t="str">
        <f>"FY of "&amp;$C$2-7</f>
        <v>FY of 2014</v>
      </c>
      <c r="C14" s="101"/>
      <c r="D14" s="98" t="str">
        <f t="shared" si="5"/>
        <v/>
      </c>
      <c r="E14" s="101"/>
      <c r="F14" s="98" t="str">
        <f t="shared" si="1"/>
        <v/>
      </c>
      <c r="G14" s="98" t="str">
        <f t="shared" si="6"/>
        <v/>
      </c>
      <c r="H14" s="99" t="str">
        <f t="shared" si="2"/>
        <v/>
      </c>
      <c r="I14" s="100" t="str">
        <f t="shared" si="7"/>
        <v/>
      </c>
      <c r="J14" s="101"/>
      <c r="K14" s="109"/>
      <c r="L14" s="97"/>
      <c r="M14" s="109"/>
      <c r="N14" s="101"/>
      <c r="O14" s="101"/>
      <c r="P14" s="101"/>
      <c r="Q14" s="101"/>
      <c r="R14" s="101"/>
      <c r="S14" s="101"/>
      <c r="T14" s="101"/>
      <c r="U14" s="104" t="str">
        <f>IF(Q14="","",DebtRange+EquityRange-S14)</f>
        <v/>
      </c>
      <c r="V14" s="101"/>
      <c r="W14" s="101"/>
      <c r="X14" s="105" t="str">
        <f t="shared" si="3"/>
        <v/>
      </c>
      <c r="Y14" s="100" t="str">
        <f t="shared" si="4"/>
        <v/>
      </c>
      <c r="Z14" s="108" t="str">
        <f t="shared" si="8"/>
        <v/>
      </c>
      <c r="AA14" s="108" t="str">
        <f t="shared" si="9"/>
        <v/>
      </c>
      <c r="AB14" s="100" t="str">
        <f t="shared" si="10"/>
        <v/>
      </c>
    </row>
    <row r="15">
      <c r="A15" s="94"/>
      <c r="B15" s="95" t="str">
        <f>"FY of "&amp;$C$2-8</f>
        <v>FY of 2013</v>
      </c>
      <c r="C15" s="101"/>
      <c r="D15" s="98" t="str">
        <f t="shared" si="5"/>
        <v/>
      </c>
      <c r="E15" s="101"/>
      <c r="F15" s="98" t="str">
        <f t="shared" si="1"/>
        <v/>
      </c>
      <c r="G15" s="98" t="str">
        <f t="shared" si="6"/>
        <v/>
      </c>
      <c r="H15" s="99" t="str">
        <f t="shared" si="2"/>
        <v/>
      </c>
      <c r="I15" s="100" t="str">
        <f t="shared" si="7"/>
        <v/>
      </c>
      <c r="J15" s="101"/>
      <c r="K15" s="109"/>
      <c r="L15" s="97"/>
      <c r="M15" s="109"/>
      <c r="N15" s="101"/>
      <c r="O15" s="101"/>
      <c r="P15" s="101"/>
      <c r="Q15" s="101"/>
      <c r="R15" s="101"/>
      <c r="S15" s="101"/>
      <c r="T15" s="101"/>
      <c r="U15" s="104" t="str">
        <f>IF(Q15="","",DebtRange+EquityRange-S15)</f>
        <v/>
      </c>
      <c r="V15" s="101"/>
      <c r="W15" s="101"/>
      <c r="X15" s="105" t="str">
        <f t="shared" si="3"/>
        <v/>
      </c>
      <c r="Y15" s="100" t="str">
        <f t="shared" si="4"/>
        <v/>
      </c>
      <c r="Z15" s="108" t="str">
        <f t="shared" si="8"/>
        <v/>
      </c>
      <c r="AA15" s="108" t="str">
        <f t="shared" si="9"/>
        <v/>
      </c>
      <c r="AB15" s="100" t="str">
        <f t="shared" si="10"/>
        <v/>
      </c>
    </row>
    <row r="16">
      <c r="A16" s="94"/>
      <c r="B16" s="95" t="str">
        <f>"FY of "&amp;$C$2-9</f>
        <v>FY of 2012</v>
      </c>
      <c r="C16" s="101"/>
      <c r="D16" s="110"/>
      <c r="E16" s="101"/>
      <c r="F16" s="98" t="str">
        <f t="shared" si="1"/>
        <v/>
      </c>
      <c r="G16" s="110"/>
      <c r="H16" s="99" t="str">
        <f t="shared" si="2"/>
        <v/>
      </c>
      <c r="I16" s="111"/>
      <c r="J16" s="101"/>
      <c r="K16" s="109"/>
      <c r="L16" s="97"/>
      <c r="M16" s="109"/>
      <c r="N16" s="101"/>
      <c r="O16" s="101"/>
      <c r="P16" s="101"/>
      <c r="Q16" s="101"/>
      <c r="R16" s="101"/>
      <c r="S16" s="101"/>
      <c r="T16" s="101"/>
      <c r="U16" s="104" t="str">
        <f>IF(Q16="","",DebtRange+EquityRange-S16)</f>
        <v/>
      </c>
      <c r="V16" s="101"/>
      <c r="W16" s="101"/>
      <c r="X16" s="105" t="str">
        <f t="shared" si="3"/>
        <v/>
      </c>
      <c r="Y16" s="100" t="str">
        <f t="shared" si="4"/>
        <v/>
      </c>
      <c r="Z16" s="108" t="str">
        <f t="shared" si="8"/>
        <v/>
      </c>
      <c r="AA16" s="112"/>
      <c r="AB16" s="113" t="str">
        <f t="shared" si="10"/>
        <v/>
      </c>
    </row>
    <row r="17">
      <c r="A17" s="35"/>
    </row>
    <row r="18">
      <c r="A18" s="35"/>
      <c r="B18" s="1" t="s">
        <v>201</v>
      </c>
      <c r="C18" s="2"/>
      <c r="D18" s="2"/>
      <c r="E18" s="2"/>
      <c r="F18" s="2"/>
    </row>
    <row r="19">
      <c r="A19" s="35"/>
      <c r="B19" s="46" t="s">
        <v>202</v>
      </c>
      <c r="C19" s="47"/>
      <c r="F19" s="11"/>
    </row>
    <row r="20">
      <c r="A20" s="35"/>
      <c r="B20" s="11" t="s">
        <v>203</v>
      </c>
      <c r="C20" s="69"/>
      <c r="D20" s="114" t="s">
        <v>204</v>
      </c>
      <c r="E20" s="115">
        <f>IF(D20="No Adjustment",D22,IF(D20="Sector Margin",D24,D23))</f>
        <v>2065</v>
      </c>
      <c r="F20" s="11"/>
      <c r="I20" s="70"/>
    </row>
    <row r="21">
      <c r="A21" s="35"/>
      <c r="D21" s="35"/>
      <c r="F21" s="11"/>
      <c r="I21" s="116"/>
    </row>
    <row r="22">
      <c r="A22" s="35"/>
      <c r="B22" s="11" t="s">
        <v>205</v>
      </c>
      <c r="D22" s="117">
        <f>if(E6="",E7,E6)</f>
        <v>2065</v>
      </c>
      <c r="E22" s="118" t="str">
        <f>IF(D$20="No Adjustment","✓","")</f>
        <v>✓</v>
      </c>
      <c r="F22" s="11"/>
      <c r="I22" s="116"/>
    </row>
    <row r="23">
      <c r="A23" s="35"/>
      <c r="B23" s="11" t="s">
        <v>206</v>
      </c>
      <c r="D23" s="117">
        <f>IF(U6="",U7-S7,U6-U6)*AVERAGE(I6:I15)</f>
        <v>1069.244914</v>
      </c>
      <c r="E23" s="118" t="str">
        <f>IF(D$20="Average pre-tax ROC","✓","")</f>
        <v/>
      </c>
      <c r="F23" s="11"/>
      <c r="I23" s="116"/>
    </row>
    <row r="24">
      <c r="A24" s="35"/>
      <c r="B24" s="11" t="s">
        <v>207</v>
      </c>
      <c r="D24" s="109"/>
      <c r="E24" s="118" t="str">
        <f>IF(D$20="Sector Margin","✓","")</f>
        <v/>
      </c>
      <c r="F24" s="11"/>
      <c r="I24" s="116"/>
    </row>
    <row r="25">
      <c r="A25" s="35"/>
    </row>
    <row r="26">
      <c r="A26" s="35"/>
      <c r="B26" s="119" t="s">
        <v>208</v>
      </c>
      <c r="C26" s="47"/>
    </row>
    <row r="27">
      <c r="A27" s="35"/>
      <c r="B27" s="11" t="s">
        <v>209</v>
      </c>
      <c r="D27" s="120">
        <f>Asm!C25</f>
        <v>0.03</v>
      </c>
    </row>
    <row r="28">
      <c r="A28" s="35"/>
      <c r="B28" s="43"/>
    </row>
    <row r="29">
      <c r="A29" s="35"/>
      <c r="B29" s="46" t="s">
        <v>210</v>
      </c>
      <c r="C29" s="47"/>
    </row>
    <row r="30">
      <c r="A30" s="35"/>
      <c r="B30" s="11" t="s">
        <v>211</v>
      </c>
      <c r="D30" s="121">
        <f>IF(I6="",I7,I6)</f>
        <v>0.4488312823</v>
      </c>
      <c r="E30" s="122"/>
    </row>
    <row r="31">
      <c r="A31" s="35"/>
      <c r="B31" s="11" t="s">
        <v>212</v>
      </c>
      <c r="D31" s="121">
        <f>AVERAGE(I7:I15)</f>
        <v>0.551157172</v>
      </c>
      <c r="E31" s="122"/>
    </row>
    <row r="32">
      <c r="A32" s="35"/>
      <c r="B32" s="11" t="s">
        <v>213</v>
      </c>
      <c r="D32" s="123"/>
      <c r="E32" s="122"/>
    </row>
    <row r="33">
      <c r="A33" s="35"/>
    </row>
    <row r="34">
      <c r="A34" s="35"/>
      <c r="B34" s="46" t="s">
        <v>214</v>
      </c>
      <c r="C34" s="47"/>
    </row>
    <row r="35">
      <c r="A35" s="35"/>
      <c r="B35" s="11" t="s">
        <v>215</v>
      </c>
      <c r="D35" s="114" t="s">
        <v>216</v>
      </c>
      <c r="E35" s="124">
        <f>IF(D35="Effective Tax Rate",D37,IF(D35="Direct Input",D39,D38))</f>
        <v>0.25</v>
      </c>
    </row>
    <row r="36">
      <c r="A36" s="35"/>
    </row>
    <row r="37">
      <c r="A37" s="35"/>
      <c r="B37" s="11" t="s">
        <v>217</v>
      </c>
      <c r="D37" s="125">
        <f>if(L6="",L7,L6)</f>
        <v>0.1169</v>
      </c>
      <c r="E37" s="126" t="str">
        <f>IF(D$35="Effective Tax Rate","✓","")</f>
        <v/>
      </c>
    </row>
    <row r="38">
      <c r="A38" s="35"/>
      <c r="B38" s="11" t="s">
        <v>218</v>
      </c>
      <c r="D38" s="125">
        <v>0.25</v>
      </c>
      <c r="E38" s="126" t="str">
        <f>IF(D$35="Marginal Tax Rate","✓","")</f>
        <v>✓</v>
      </c>
    </row>
    <row r="39">
      <c r="A39" s="35"/>
      <c r="B39" s="11" t="s">
        <v>207</v>
      </c>
      <c r="D39" s="120"/>
      <c r="E39" s="126" t="str">
        <f>IF(D$35="Direct Input","✓","")</f>
        <v/>
      </c>
    </row>
    <row r="40">
      <c r="A40" s="35"/>
    </row>
    <row r="41">
      <c r="A41" s="35"/>
      <c r="B41" s="46" t="s">
        <v>219</v>
      </c>
      <c r="C41" s="47"/>
    </row>
    <row r="42">
      <c r="A42" s="35"/>
      <c r="B42" s="11" t="s">
        <v>220</v>
      </c>
      <c r="D42" s="102">
        <f>P7</f>
        <v>1602</v>
      </c>
    </row>
    <row r="43">
      <c r="A43" s="35"/>
      <c r="B43" s="11" t="s">
        <v>221</v>
      </c>
      <c r="D43" s="102">
        <v>0.0</v>
      </c>
    </row>
    <row r="44">
      <c r="A44" s="35"/>
    </row>
    <row r="45">
      <c r="A45" s="35"/>
      <c r="B45" s="46" t="s">
        <v>222</v>
      </c>
      <c r="C45" s="47"/>
    </row>
    <row r="46">
      <c r="A46" s="35"/>
      <c r="B46" s="11" t="s">
        <v>223</v>
      </c>
      <c r="D46" s="114" t="s">
        <v>224</v>
      </c>
      <c r="E46" s="127" t="str">
        <f>IF(D46="Direct Input",D49,D48)</f>
        <v/>
      </c>
    </row>
    <row r="47">
      <c r="A47" s="35"/>
    </row>
    <row r="48">
      <c r="A48" s="35"/>
      <c r="B48" s="11" t="s">
        <v>225</v>
      </c>
      <c r="D48" s="117" t="str">
        <f>IF(T6="",T7,T6)</f>
        <v/>
      </c>
    </row>
    <row r="49">
      <c r="A49" s="35"/>
      <c r="B49" s="11" t="s">
        <v>226</v>
      </c>
      <c r="D49" s="101"/>
    </row>
    <row r="50">
      <c r="A50" s="35"/>
    </row>
    <row r="51">
      <c r="A51" s="35"/>
      <c r="B51" s="128" t="s">
        <v>227</v>
      </c>
      <c r="C51" s="47"/>
    </row>
    <row r="52">
      <c r="A52" s="35"/>
      <c r="B52" s="11" t="s">
        <v>228</v>
      </c>
      <c r="D52" s="114" t="s">
        <v>229</v>
      </c>
      <c r="E52" s="129">
        <f>IF(D52="BV of the MI",D54,IF(D52="P/E Approach",D55,IF(D52="Direct Input",D57,D56)))</f>
        <v>0</v>
      </c>
    </row>
    <row r="53">
      <c r="A53" s="35"/>
    </row>
    <row r="54">
      <c r="A54" s="35"/>
      <c r="B54" s="11" t="s">
        <v>230</v>
      </c>
      <c r="D54" s="117">
        <f>IF(R6="",R7,R6)</f>
        <v>0</v>
      </c>
    </row>
    <row r="55">
      <c r="A55" s="35"/>
      <c r="B55" s="11" t="s">
        <v>231</v>
      </c>
      <c r="D55" s="117">
        <f>IF(R6="",M7,M6)*Asm!C9</f>
        <v>0</v>
      </c>
    </row>
    <row r="56">
      <c r="A56" s="35"/>
      <c r="B56" s="11" t="s">
        <v>232</v>
      </c>
      <c r="D56" s="117">
        <f>D54*Asm!C10</f>
        <v>0</v>
      </c>
    </row>
    <row r="57">
      <c r="A57" s="35"/>
      <c r="B57" s="11" t="s">
        <v>233</v>
      </c>
      <c r="D57" s="109"/>
    </row>
    <row r="58">
      <c r="A58" s="35"/>
    </row>
    <row r="59">
      <c r="A59" s="35"/>
      <c r="B59" s="46" t="s">
        <v>234</v>
      </c>
      <c r="C59" s="47"/>
    </row>
    <row r="60">
      <c r="A60" s="35"/>
      <c r="B60" s="11" t="s">
        <v>235</v>
      </c>
      <c r="D60" s="114" t="s">
        <v>42</v>
      </c>
    </row>
    <row r="61">
      <c r="A61" s="35"/>
      <c r="B61" s="11" t="s">
        <v>236</v>
      </c>
      <c r="D61" s="105"/>
    </row>
    <row r="62">
      <c r="A62" s="35"/>
      <c r="B62" s="11" t="s">
        <v>237</v>
      </c>
      <c r="D62" s="105"/>
    </row>
    <row r="63">
      <c r="A63" s="35"/>
    </row>
    <row r="64">
      <c r="A64" s="35"/>
    </row>
    <row r="65">
      <c r="A65" s="35"/>
    </row>
    <row r="66">
      <c r="A66" s="35"/>
    </row>
    <row r="67">
      <c r="A67" s="35"/>
    </row>
    <row r="68">
      <c r="A68" s="35"/>
    </row>
    <row r="69">
      <c r="A69" s="35"/>
    </row>
    <row r="70">
      <c r="A70" s="35"/>
    </row>
    <row r="71">
      <c r="A71" s="35"/>
    </row>
    <row r="72">
      <c r="A72" s="35"/>
    </row>
    <row r="73">
      <c r="A73" s="35"/>
    </row>
    <row r="74">
      <c r="A74" s="35"/>
    </row>
    <row r="75">
      <c r="A75" s="35"/>
      <c r="G75" s="11"/>
    </row>
    <row r="76">
      <c r="A76" s="35"/>
      <c r="G76" s="11"/>
    </row>
    <row r="77">
      <c r="A77" s="35"/>
    </row>
    <row r="78">
      <c r="A78" s="35"/>
    </row>
    <row r="79">
      <c r="A79" s="35"/>
    </row>
    <row r="80">
      <c r="A80" s="35"/>
    </row>
    <row r="81">
      <c r="A81" s="35"/>
    </row>
    <row r="82">
      <c r="A82" s="35"/>
    </row>
    <row r="83">
      <c r="A83" s="35"/>
    </row>
    <row r="84">
      <c r="A84" s="35"/>
    </row>
    <row r="85">
      <c r="A85" s="35"/>
    </row>
    <row r="86">
      <c r="A86" s="35"/>
    </row>
    <row r="87">
      <c r="A87" s="35"/>
    </row>
    <row r="88">
      <c r="A88" s="35"/>
    </row>
    <row r="89">
      <c r="A89" s="35"/>
    </row>
    <row r="90">
      <c r="A90" s="35"/>
    </row>
    <row r="91">
      <c r="A91" s="35"/>
    </row>
    <row r="92">
      <c r="A92" s="35"/>
    </row>
    <row r="93">
      <c r="A93" s="35"/>
    </row>
    <row r="94">
      <c r="A94" s="35"/>
    </row>
    <row r="95">
      <c r="A95" s="35"/>
    </row>
    <row r="96">
      <c r="A96" s="35"/>
    </row>
    <row r="97">
      <c r="A97" s="35"/>
    </row>
    <row r="98">
      <c r="A98" s="35"/>
    </row>
    <row r="99">
      <c r="A99" s="35"/>
    </row>
    <row r="100">
      <c r="A100" s="35"/>
    </row>
    <row r="101">
      <c r="A101" s="35"/>
    </row>
    <row r="102">
      <c r="A102" s="35"/>
    </row>
    <row r="103">
      <c r="A103" s="35"/>
    </row>
    <row r="104">
      <c r="A104" s="35"/>
    </row>
    <row r="105">
      <c r="A105" s="35"/>
    </row>
    <row r="106">
      <c r="A106" s="35"/>
    </row>
    <row r="107">
      <c r="A107" s="35"/>
    </row>
    <row r="108">
      <c r="A108" s="35"/>
    </row>
    <row r="109">
      <c r="A109" s="35"/>
    </row>
    <row r="110">
      <c r="A110" s="35"/>
    </row>
    <row r="111">
      <c r="A111" s="35"/>
    </row>
    <row r="112">
      <c r="A112" s="35"/>
    </row>
    <row r="113">
      <c r="A113" s="35"/>
    </row>
    <row r="114">
      <c r="A114" s="35"/>
    </row>
    <row r="115">
      <c r="A115" s="35"/>
    </row>
    <row r="116">
      <c r="A116" s="35"/>
    </row>
    <row r="117">
      <c r="A117" s="35"/>
    </row>
    <row r="118">
      <c r="A118" s="35"/>
    </row>
    <row r="119">
      <c r="A119" s="35"/>
    </row>
    <row r="120">
      <c r="A120" s="35"/>
    </row>
    <row r="121">
      <c r="A121" s="35"/>
    </row>
    <row r="122">
      <c r="A122" s="35"/>
    </row>
    <row r="123">
      <c r="A123" s="35"/>
    </row>
    <row r="124">
      <c r="A124" s="35"/>
    </row>
    <row r="125">
      <c r="A125" s="35"/>
    </row>
    <row r="126">
      <c r="A126" s="35"/>
    </row>
    <row r="127">
      <c r="A127" s="35"/>
    </row>
    <row r="128">
      <c r="A128" s="35"/>
    </row>
    <row r="129">
      <c r="A129" s="35"/>
    </row>
    <row r="130">
      <c r="A130" s="35"/>
    </row>
    <row r="131">
      <c r="A131" s="35"/>
    </row>
    <row r="132">
      <c r="A132" s="35"/>
    </row>
    <row r="133">
      <c r="A133" s="35"/>
    </row>
    <row r="134">
      <c r="A134" s="35"/>
    </row>
    <row r="135">
      <c r="A135" s="35"/>
    </row>
    <row r="136">
      <c r="A136" s="35"/>
    </row>
    <row r="137">
      <c r="A137" s="35"/>
    </row>
    <row r="138">
      <c r="A138" s="35"/>
    </row>
    <row r="139">
      <c r="A139" s="35"/>
    </row>
    <row r="140">
      <c r="A140" s="35"/>
    </row>
    <row r="141">
      <c r="A141" s="35"/>
    </row>
    <row r="142">
      <c r="A142" s="35"/>
    </row>
    <row r="143">
      <c r="A143" s="35"/>
    </row>
    <row r="144">
      <c r="A144" s="35"/>
    </row>
    <row r="145">
      <c r="A145" s="35"/>
    </row>
    <row r="146">
      <c r="A146" s="35"/>
    </row>
    <row r="147">
      <c r="A147" s="35"/>
    </row>
    <row r="148">
      <c r="A148" s="35"/>
    </row>
    <row r="149">
      <c r="A149" s="35"/>
    </row>
    <row r="150">
      <c r="A150" s="35"/>
    </row>
    <row r="151">
      <c r="A151" s="35"/>
    </row>
    <row r="152">
      <c r="A152" s="35"/>
    </row>
    <row r="153">
      <c r="A153" s="35"/>
    </row>
    <row r="154">
      <c r="A154" s="35"/>
    </row>
    <row r="155">
      <c r="A155" s="35"/>
    </row>
    <row r="156">
      <c r="A156" s="35"/>
    </row>
    <row r="157">
      <c r="A157" s="35"/>
    </row>
    <row r="158">
      <c r="A158" s="35"/>
    </row>
    <row r="159">
      <c r="A159" s="35"/>
    </row>
    <row r="160">
      <c r="A160" s="35"/>
    </row>
    <row r="161">
      <c r="A161" s="35"/>
    </row>
    <row r="162">
      <c r="A162" s="35"/>
    </row>
    <row r="163">
      <c r="A163" s="35"/>
    </row>
    <row r="164">
      <c r="A164" s="35"/>
    </row>
    <row r="165">
      <c r="A165" s="35"/>
    </row>
    <row r="166">
      <c r="A166" s="35"/>
    </row>
    <row r="167">
      <c r="A167" s="35"/>
    </row>
    <row r="168">
      <c r="A168" s="35"/>
    </row>
    <row r="169">
      <c r="A169" s="35"/>
    </row>
    <row r="170">
      <c r="A170" s="35"/>
    </row>
    <row r="171">
      <c r="A171" s="35"/>
    </row>
    <row r="172">
      <c r="A172" s="35"/>
    </row>
    <row r="173">
      <c r="A173" s="35"/>
    </row>
    <row r="174">
      <c r="A174" s="35"/>
    </row>
    <row r="175">
      <c r="A175" s="35"/>
    </row>
    <row r="176">
      <c r="A176" s="35"/>
    </row>
    <row r="177">
      <c r="A177" s="35"/>
    </row>
    <row r="178">
      <c r="A178" s="35"/>
    </row>
    <row r="179">
      <c r="A179" s="35"/>
    </row>
    <row r="180">
      <c r="A180" s="35"/>
    </row>
    <row r="181">
      <c r="A181" s="35"/>
    </row>
    <row r="182">
      <c r="A182" s="35"/>
    </row>
    <row r="183">
      <c r="A183" s="35"/>
    </row>
    <row r="184">
      <c r="A184" s="35"/>
    </row>
    <row r="185">
      <c r="A185" s="35"/>
    </row>
    <row r="186">
      <c r="A186" s="35"/>
    </row>
    <row r="187">
      <c r="A187" s="35"/>
    </row>
    <row r="188">
      <c r="A188" s="35"/>
    </row>
    <row r="189">
      <c r="A189" s="35"/>
    </row>
    <row r="190">
      <c r="A190" s="35"/>
    </row>
    <row r="191">
      <c r="A191" s="35"/>
    </row>
    <row r="192">
      <c r="A192" s="35"/>
    </row>
    <row r="193">
      <c r="A193" s="35"/>
    </row>
    <row r="194">
      <c r="A194" s="35"/>
    </row>
    <row r="195">
      <c r="A195" s="35"/>
    </row>
    <row r="196">
      <c r="A196" s="35"/>
    </row>
    <row r="197">
      <c r="A197" s="35"/>
    </row>
    <row r="198">
      <c r="A198" s="35"/>
    </row>
    <row r="199">
      <c r="A199" s="35"/>
    </row>
    <row r="200">
      <c r="A200" s="35"/>
    </row>
    <row r="201">
      <c r="A201" s="35"/>
    </row>
    <row r="202">
      <c r="A202" s="35"/>
    </row>
    <row r="203">
      <c r="A203" s="35"/>
    </row>
    <row r="204">
      <c r="A204" s="35"/>
    </row>
    <row r="205">
      <c r="A205" s="35"/>
    </row>
    <row r="206">
      <c r="A206" s="35"/>
    </row>
    <row r="207">
      <c r="A207" s="35"/>
    </row>
    <row r="208">
      <c r="A208" s="35"/>
    </row>
    <row r="209">
      <c r="A209" s="35"/>
    </row>
    <row r="210">
      <c r="A210" s="35"/>
    </row>
    <row r="211">
      <c r="A211" s="35"/>
    </row>
    <row r="212">
      <c r="A212" s="35"/>
    </row>
    <row r="213">
      <c r="A213" s="35"/>
    </row>
    <row r="214">
      <c r="A214" s="35"/>
    </row>
    <row r="215">
      <c r="A215" s="35"/>
    </row>
    <row r="216">
      <c r="A216" s="35"/>
    </row>
    <row r="217">
      <c r="A217" s="35"/>
    </row>
    <row r="218">
      <c r="A218" s="35"/>
    </row>
    <row r="219">
      <c r="A219" s="35"/>
    </row>
    <row r="220">
      <c r="A220" s="35"/>
    </row>
    <row r="221">
      <c r="A221" s="35"/>
    </row>
    <row r="222">
      <c r="A222" s="35"/>
    </row>
    <row r="223">
      <c r="A223" s="35"/>
    </row>
    <row r="224">
      <c r="A224" s="35"/>
    </row>
    <row r="225">
      <c r="A225" s="35"/>
    </row>
    <row r="226">
      <c r="A226" s="35"/>
    </row>
    <row r="227">
      <c r="A227" s="35"/>
    </row>
    <row r="228">
      <c r="A228" s="35"/>
    </row>
    <row r="229">
      <c r="A229" s="35"/>
    </row>
    <row r="230">
      <c r="A230" s="35"/>
    </row>
    <row r="231">
      <c r="A231" s="35"/>
    </row>
    <row r="232">
      <c r="A232" s="35"/>
    </row>
    <row r="233">
      <c r="A233" s="35"/>
    </row>
    <row r="234">
      <c r="A234" s="35"/>
    </row>
    <row r="235">
      <c r="A235" s="35"/>
    </row>
    <row r="236">
      <c r="A236" s="35"/>
    </row>
    <row r="237">
      <c r="A237" s="35"/>
    </row>
    <row r="238">
      <c r="A238" s="35"/>
    </row>
    <row r="239">
      <c r="A239" s="35"/>
    </row>
    <row r="240">
      <c r="A240" s="35"/>
    </row>
    <row r="241">
      <c r="A241" s="35"/>
    </row>
    <row r="242">
      <c r="A242" s="35"/>
    </row>
    <row r="243">
      <c r="A243" s="35"/>
    </row>
    <row r="244">
      <c r="A244" s="35"/>
    </row>
    <row r="245">
      <c r="A245" s="35"/>
    </row>
    <row r="246">
      <c r="A246" s="35"/>
    </row>
    <row r="247">
      <c r="A247" s="35"/>
    </row>
    <row r="248">
      <c r="A248" s="35"/>
    </row>
    <row r="249">
      <c r="A249" s="35"/>
    </row>
    <row r="250">
      <c r="A250" s="35"/>
    </row>
    <row r="251">
      <c r="A251" s="35"/>
    </row>
    <row r="252">
      <c r="A252" s="35"/>
    </row>
    <row r="253">
      <c r="A253" s="35"/>
    </row>
    <row r="254">
      <c r="A254" s="35"/>
    </row>
    <row r="255">
      <c r="A255" s="35"/>
    </row>
    <row r="256">
      <c r="A256" s="35"/>
    </row>
    <row r="257">
      <c r="A257" s="35"/>
    </row>
    <row r="258">
      <c r="A258" s="35"/>
    </row>
    <row r="259">
      <c r="A259" s="35"/>
    </row>
    <row r="260">
      <c r="A260" s="35"/>
    </row>
    <row r="261">
      <c r="A261" s="35"/>
    </row>
    <row r="262">
      <c r="A262" s="35"/>
    </row>
    <row r="263">
      <c r="A263" s="35"/>
    </row>
    <row r="264">
      <c r="A264" s="35"/>
    </row>
    <row r="265">
      <c r="A265" s="35"/>
    </row>
    <row r="266">
      <c r="A266" s="35"/>
    </row>
    <row r="267">
      <c r="A267" s="35"/>
    </row>
    <row r="268">
      <c r="A268" s="35"/>
    </row>
    <row r="269">
      <c r="A269" s="35"/>
    </row>
    <row r="270">
      <c r="A270" s="35"/>
    </row>
    <row r="271">
      <c r="A271" s="35"/>
    </row>
    <row r="272">
      <c r="A272" s="35"/>
    </row>
    <row r="273">
      <c r="A273" s="35"/>
    </row>
    <row r="274">
      <c r="A274" s="35"/>
    </row>
    <row r="275">
      <c r="A275" s="35"/>
    </row>
    <row r="276">
      <c r="A276" s="35"/>
    </row>
    <row r="277">
      <c r="A277" s="35"/>
    </row>
    <row r="278">
      <c r="A278" s="35"/>
    </row>
    <row r="279">
      <c r="A279" s="35"/>
    </row>
    <row r="280">
      <c r="A280" s="35"/>
    </row>
    <row r="281">
      <c r="A281" s="35"/>
    </row>
    <row r="282">
      <c r="A282" s="35"/>
    </row>
    <row r="283">
      <c r="A283" s="35"/>
    </row>
    <row r="284">
      <c r="A284" s="35"/>
    </row>
    <row r="285">
      <c r="A285" s="35"/>
    </row>
    <row r="286">
      <c r="A286" s="35"/>
    </row>
    <row r="287">
      <c r="A287" s="35"/>
    </row>
    <row r="288">
      <c r="A288" s="35"/>
    </row>
    <row r="289">
      <c r="A289" s="35"/>
    </row>
    <row r="290">
      <c r="A290" s="35"/>
    </row>
    <row r="291">
      <c r="A291" s="35"/>
    </row>
    <row r="292">
      <c r="A292" s="35"/>
    </row>
    <row r="293">
      <c r="A293" s="35"/>
    </row>
    <row r="294">
      <c r="A294" s="35"/>
    </row>
    <row r="295">
      <c r="A295" s="35"/>
    </row>
    <row r="296">
      <c r="A296" s="35"/>
    </row>
    <row r="297">
      <c r="A297" s="35"/>
    </row>
    <row r="298">
      <c r="A298" s="35"/>
    </row>
    <row r="299">
      <c r="A299" s="35"/>
    </row>
    <row r="300">
      <c r="A300" s="35"/>
    </row>
    <row r="301">
      <c r="A301" s="35"/>
    </row>
    <row r="302">
      <c r="A302" s="35"/>
    </row>
    <row r="303">
      <c r="A303" s="35"/>
    </row>
    <row r="304">
      <c r="A304" s="35"/>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sheetData>
  <mergeCells count="5">
    <mergeCell ref="I20:J20"/>
    <mergeCell ref="I21:J21"/>
    <mergeCell ref="I22:J22"/>
    <mergeCell ref="I23:J23"/>
    <mergeCell ref="I24:J24"/>
  </mergeCells>
  <dataValidations>
    <dataValidation type="list" allowBlank="1" sqref="D46">
      <formula1>"As stated in FS,Direct Input"</formula1>
    </dataValidation>
    <dataValidation type="decimal" allowBlank="1" showDropDown="1" showErrorMessage="1" sqref="C2">
      <formula1>2000.0</formula1>
      <formula2>2100.0</formula2>
    </dataValidation>
    <dataValidation type="list" allowBlank="1" sqref="D20">
      <formula1>"No Adjustment,Average pre-tax ROC,Sector Margin"</formula1>
    </dataValidation>
    <dataValidation type="list" allowBlank="1" sqref="D35">
      <formula1>"Effective Tax Rate,Marginal Tax Rate,Direct Input"</formula1>
    </dataValidation>
    <dataValidation type="list" allowBlank="1" sqref="D60">
      <formula1>"Yes,No"</formula1>
    </dataValidation>
    <dataValidation type="list" allowBlank="1" showErrorMessage="1" sqref="C3">
      <formula1>"LTM,FY"</formula1>
    </dataValidation>
    <dataValidation type="list" allowBlank="1" sqref="D52">
      <formula1>"BV of the MI,P/E Approach,P/B Approach,"</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showGridLines="0" workbookViewId="0"/>
  </sheetViews>
  <sheetFormatPr customHeight="1" defaultColWidth="12.63" defaultRowHeight="15.75"/>
  <cols>
    <col customWidth="1" min="1" max="1" width="26.88"/>
  </cols>
  <sheetData>
    <row r="1">
      <c r="A1" s="130" t="s">
        <v>238</v>
      </c>
    </row>
    <row r="3">
      <c r="A3" s="46" t="s">
        <v>239</v>
      </c>
      <c r="B3" s="131" t="s">
        <v>83</v>
      </c>
    </row>
    <row r="4">
      <c r="A4" s="132" t="s">
        <v>240</v>
      </c>
      <c r="E4" s="132" t="s">
        <v>241</v>
      </c>
      <c r="I4" s="132" t="s">
        <v>242</v>
      </c>
    </row>
    <row r="5">
      <c r="A5" s="11" t="s">
        <v>70</v>
      </c>
      <c r="C5" s="125">
        <f>IF(B3="Base Case",Asm!E39,IF(B3="Bear Case",Asm!D39,Asm!F39))</f>
        <v>0.05198789486</v>
      </c>
      <c r="E5" s="11" t="s">
        <v>70</v>
      </c>
      <c r="G5" s="125">
        <f>Asm!G39</f>
        <v>0.03</v>
      </c>
      <c r="I5" s="11" t="s">
        <v>69</v>
      </c>
      <c r="K5" s="133">
        <f>IF(B3="Base Case",Asm!E37,IF(B3="Bear Case",Asm!D37,Asm!F37))</f>
        <v>4</v>
      </c>
    </row>
    <row r="6">
      <c r="A6" s="11" t="s">
        <v>243</v>
      </c>
      <c r="C6" s="125">
        <f>IF(B3="Base Case",Asm!E40,IF(B3="Bear Case",Asm!D40,Asm!F40))</f>
        <v>0.1363853539</v>
      </c>
      <c r="E6" s="11" t="s">
        <v>244</v>
      </c>
      <c r="G6" s="125">
        <f>Asm!G40</f>
        <v>0.3076923077</v>
      </c>
      <c r="I6" s="11" t="s">
        <v>245</v>
      </c>
      <c r="K6" s="134">
        <f>_xlfn.CEILING.MATH((K5/2))</f>
        <v>2</v>
      </c>
    </row>
    <row r="7">
      <c r="A7" s="11" t="s">
        <v>246</v>
      </c>
      <c r="C7" s="135">
        <f>Asm!C26</f>
        <v>0.075</v>
      </c>
      <c r="E7" s="11" t="s">
        <v>246</v>
      </c>
      <c r="G7" s="135">
        <f>Asm!C27</f>
        <v>0.0975</v>
      </c>
    </row>
    <row r="9">
      <c r="A9" s="46" t="s">
        <v>247</v>
      </c>
      <c r="B9" s="11" t="s">
        <v>248</v>
      </c>
    </row>
    <row r="10">
      <c r="A10" s="136" t="str">
        <f>"(Numbers in "&amp;Data!F2&amp;Asm!C11&amp;")"</f>
        <v>(Numbers in 1000000HKD)</v>
      </c>
      <c r="B10" s="137" t="str">
        <f>"Actual "&amp;IF(L10="",Data!B7,"LTM")</f>
        <v>Actual LTM</v>
      </c>
      <c r="C10" s="137">
        <v>1.0</v>
      </c>
      <c r="D10" s="137">
        <v>2.0</v>
      </c>
      <c r="E10" s="137">
        <v>3.0</v>
      </c>
      <c r="F10" s="137">
        <v>4.0</v>
      </c>
      <c r="G10" s="137">
        <v>5.0</v>
      </c>
      <c r="H10" s="137">
        <v>6.0</v>
      </c>
      <c r="I10" s="137">
        <v>7.0</v>
      </c>
      <c r="J10" s="137">
        <v>8.0</v>
      </c>
      <c r="K10" s="137">
        <v>9.0</v>
      </c>
      <c r="L10" s="137">
        <v>10.0</v>
      </c>
      <c r="M10" s="137" t="s">
        <v>249</v>
      </c>
    </row>
    <row r="11">
      <c r="A11" s="138" t="s">
        <v>250</v>
      </c>
      <c r="B11" s="139">
        <f>IF(Data!U6="",Data!U8,Data!U7)</f>
        <v>4063</v>
      </c>
      <c r="C11" s="139">
        <f>IF('Bear Model'!ModelYear&gt;'Bear Model'!EXP_CAP,"",B11+B23)</f>
        <v>4363</v>
      </c>
      <c r="D11" s="139">
        <f>IF('Bear Model'!ModelYear&gt;'Bear Model'!EXP_CAP,"",C11+C23)</f>
        <v>4620.720896</v>
      </c>
      <c r="E11" s="139">
        <f>IF('Bear Model'!ModelYear&gt;'Bear Model'!EXP_CAP,"",D11+D23)</f>
        <v>4839.0764</v>
      </c>
      <c r="F11" s="139">
        <f>IF('Bear Model'!ModelYear&gt;'Bear Model'!EXP_CAP,"",E11+E23)</f>
        <v>5010.581938</v>
      </c>
      <c r="G11" s="139" t="str">
        <f>IF('Bear Model'!ModelYear&gt;'Bear Model'!EXP_CAP,"",F11+F23)</f>
        <v/>
      </c>
      <c r="H11" s="139" t="str">
        <f>IF('Bear Model'!ModelYear&gt;'Bear Model'!EXP_CAP,"",G11+G23)</f>
        <v/>
      </c>
      <c r="I11" s="139" t="str">
        <f>IF('Bear Model'!ModelYear&gt;'Bear Model'!EXP_CAP,"",H11+H23)</f>
        <v/>
      </c>
      <c r="J11" s="139" t="str">
        <f>IF('Bear Model'!ModelYear&gt;'Bear Model'!EXP_CAP,"",I11+I23)</f>
        <v/>
      </c>
      <c r="K11" s="139" t="str">
        <f>IF('Bear Model'!ModelYear&gt;'Bear Model'!EXP_CAP,"",J11+J23)</f>
        <v/>
      </c>
      <c r="L11" s="139" t="str">
        <f>IF('Bear Model'!ModelYear&gt;'Bear Model'!EXP_CAP,"",K11+K23)</f>
        <v/>
      </c>
      <c r="M11" s="70"/>
    </row>
    <row r="12">
      <c r="A12" s="138" t="s">
        <v>251</v>
      </c>
      <c r="B12" s="69"/>
      <c r="C12" s="140">
        <f>IF('Bear Model'!ModelYear&gt;'Bear Model'!EXP_CAP,"",C13/B13-1)</f>
        <v>0.1482598758</v>
      </c>
      <c r="D12" s="140">
        <f>IF('Bear Model'!ModelYear&gt;'Bear Model'!EXP_CAP,"",D13/C13-1)</f>
        <v>0.02020471157</v>
      </c>
      <c r="E12" s="140">
        <f>IF('Bear Model'!ModelYear&gt;'Bear Model'!EXP_CAP,"",E13/D13-1)</f>
        <v>0.04725572237</v>
      </c>
      <c r="F12" s="140">
        <f>IF('Bear Model'!ModelYear&gt;'Bear Model'!EXP_CAP,"",F13/E13-1)</f>
        <v>0.03544179178</v>
      </c>
      <c r="G12" s="140" t="str">
        <f>IF('Bear Model'!ModelYear&gt;'Bear Model'!EXP_CAP,"",G13/F13-1)</f>
        <v/>
      </c>
      <c r="H12" s="140" t="str">
        <f>IF('Bear Model'!ModelYear&gt;'Bear Model'!EXP_CAP,"",H13/G13-1)</f>
        <v/>
      </c>
      <c r="I12" s="140" t="str">
        <f>IF('Bear Model'!ModelYear&gt;'Bear Model'!EXP_CAP,"",I13/H13-1)</f>
        <v/>
      </c>
      <c r="J12" s="140" t="str">
        <f>IF('Bear Model'!ModelYear&gt;'Bear Model'!EXP_CAP,"",J13/I13-1)</f>
        <v/>
      </c>
      <c r="K12" s="140" t="str">
        <f>IF('Bear Model'!ModelYear&gt;'Bear Model'!EXP_CAP,"",K13/J13-1)</f>
        <v/>
      </c>
      <c r="L12" s="140" t="str">
        <f>IF('Bear Model'!ModelYear&gt;'Bear Model'!EXP_CAP,"",L13/K13-1)</f>
        <v/>
      </c>
      <c r="M12" s="140">
        <f>M13/INDIRECT(ADDRESS(ROW(A13),'Bear Model'!EXP_CAP+2))-1</f>
        <v>0.03379373849</v>
      </c>
    </row>
    <row r="13">
      <c r="A13" s="11" t="s">
        <v>252</v>
      </c>
      <c r="B13" s="141">
        <f>IF(Data!C6="",Data!C7,Data!C6)</f>
        <v>18392</v>
      </c>
      <c r="C13" s="141">
        <f>IF('Bear Model'!ModelYear&gt;'Bear Model'!EXP_CAP,"",C18/C14)</f>
        <v>21118.79564</v>
      </c>
      <c r="D13" s="141">
        <f>IF('Bear Model'!ModelYear&gt;'Bear Model'!EXP_CAP,"",D18/D14)</f>
        <v>21545.49481</v>
      </c>
      <c r="E13" s="141">
        <f>IF('Bear Model'!ModelYear&gt;'Bear Model'!EXP_CAP,"",E18/E14)</f>
        <v>22563.64273</v>
      </c>
      <c r="F13" s="141">
        <f>IF('Bear Model'!ModelYear&gt;'Bear Model'!EXP_CAP,"",F18/F14)</f>
        <v>23363.33866</v>
      </c>
      <c r="G13" s="141" t="str">
        <f>IF('Bear Model'!ModelYear&gt;'Bear Model'!EXP_CAP,"",G18/G14)</f>
        <v/>
      </c>
      <c r="H13" s="141" t="str">
        <f>IF('Bear Model'!ModelYear&gt;'Bear Model'!EXP_CAP,"",H18/H14)</f>
        <v/>
      </c>
      <c r="I13" s="141" t="str">
        <f>IF('Bear Model'!ModelYear&gt;'Bear Model'!EXP_CAP,"",I18/I14)</f>
        <v/>
      </c>
      <c r="J13" s="141" t="str">
        <f>IF('Bear Model'!ModelYear&gt;'Bear Model'!EXP_CAP,"",J18/J14)</f>
        <v/>
      </c>
      <c r="K13" s="141" t="str">
        <f>IF('Bear Model'!ModelYear&gt;'Bear Model'!EXP_CAP,"",K18/K14)</f>
        <v/>
      </c>
      <c r="L13" s="141" t="str">
        <f>IF('Bear Model'!ModelYear&gt;'Bear Model'!EXP_CAP,"",L18/L14)</f>
        <v/>
      </c>
      <c r="M13" s="141">
        <f>M18/M14</f>
        <v>24152.87322</v>
      </c>
    </row>
    <row r="14">
      <c r="A14" s="138" t="s">
        <v>253</v>
      </c>
      <c r="B14" s="140">
        <f>B18/B13</f>
        <v>0.112277077</v>
      </c>
      <c r="C14" s="142">
        <v>0.105</v>
      </c>
      <c r="D14" s="142">
        <v>0.109</v>
      </c>
      <c r="E14" s="142">
        <v>0.109</v>
      </c>
      <c r="F14" s="142">
        <v>0.109</v>
      </c>
      <c r="G14" s="142"/>
      <c r="H14" s="142"/>
      <c r="I14" s="142"/>
      <c r="J14" s="142"/>
      <c r="K14" s="142"/>
      <c r="L14" s="142"/>
      <c r="M14" s="142">
        <v>0.1086</v>
      </c>
    </row>
    <row r="15">
      <c r="A15" s="138" t="s">
        <v>254</v>
      </c>
      <c r="B15" s="116"/>
      <c r="C15" s="143">
        <f t="shared" ref="C15:F15" si="1">$B$21</f>
        <v>0.3811838543</v>
      </c>
      <c r="D15" s="143">
        <f t="shared" si="1"/>
        <v>0.3811838543</v>
      </c>
      <c r="E15" s="143">
        <f t="shared" si="1"/>
        <v>0.3811838543</v>
      </c>
      <c r="F15" s="143">
        <f t="shared" si="1"/>
        <v>0.3811838543</v>
      </c>
      <c r="G15" s="143"/>
      <c r="H15" s="143"/>
      <c r="I15" s="143"/>
      <c r="J15" s="143"/>
      <c r="K15" s="143"/>
      <c r="L15" s="143"/>
      <c r="M15" s="116"/>
    </row>
    <row r="16">
      <c r="A16" s="138" t="s">
        <v>255</v>
      </c>
      <c r="B16" s="69"/>
      <c r="C16" s="143">
        <f t="shared" ref="C16:F16" si="2">$B$21</f>
        <v>0.3811838543</v>
      </c>
      <c r="D16" s="143">
        <f t="shared" si="2"/>
        <v>0.3811838543</v>
      </c>
      <c r="E16" s="143">
        <f t="shared" si="2"/>
        <v>0.3811838543</v>
      </c>
      <c r="F16" s="143">
        <f t="shared" si="2"/>
        <v>0.3811838543</v>
      </c>
      <c r="G16" s="143"/>
      <c r="H16" s="143"/>
      <c r="I16" s="143"/>
      <c r="J16" s="143"/>
      <c r="K16" s="143"/>
      <c r="L16" s="143"/>
      <c r="M16" s="116"/>
    </row>
    <row r="17">
      <c r="A17" s="144" t="s">
        <v>256</v>
      </c>
      <c r="B17" s="145"/>
      <c r="C17" s="146">
        <f>IF('Bear Model'!ModelYear&gt;'Bear Model'!EXP_CAP,"",C15*B22+(C16-B21)/C16)</f>
        <v>0.07383706621</v>
      </c>
      <c r="D17" s="146">
        <f>IF('Bear Model'!ModelYear&gt;'Bear Model'!EXP_CAP,"",D15*C22+(D16-C21)/D16)</f>
        <v>0.05906965297</v>
      </c>
      <c r="E17" s="146">
        <f>IF('Bear Model'!ModelYear&gt;'Bear Model'!EXP_CAP,"",E15*D22+(E16-D21)/E16)</f>
        <v>0.04725572237</v>
      </c>
      <c r="F17" s="146">
        <f>IF('Bear Model'!ModelYear&gt;'Bear Model'!EXP_CAP,"",F15*E22+(F16-E21)/F16)</f>
        <v>0.03544179178</v>
      </c>
      <c r="G17" s="146" t="str">
        <f>IF('Bear Model'!ModelYear&gt;'Bear Model'!EXP_CAP,"",G15*F22+(G16-F21)/G16)</f>
        <v/>
      </c>
      <c r="H17" s="146" t="str">
        <f>IF('Bear Model'!ModelYear&gt;'Bear Model'!EXP_CAP,"",H15*G22+(H16-G21)/H16)</f>
        <v/>
      </c>
      <c r="I17" s="146" t="str">
        <f>IF('Bear Model'!ModelYear&gt;'Bear Model'!EXP_CAP,"",I15*H22+(I16-H21)/I16)</f>
        <v/>
      </c>
      <c r="J17" s="146" t="str">
        <f>IF('Bear Model'!ModelYear&gt;'Bear Model'!EXP_CAP,"",J15*I22+(J16-I21)/J16)</f>
        <v/>
      </c>
      <c r="K17" s="146" t="str">
        <f>IF('Bear Model'!ModelYear&gt;'Bear Model'!EXP_CAP,"",K15*J22+(K16-J21)/K16)</f>
        <v/>
      </c>
      <c r="L17" s="146" t="str">
        <f>IF('Bear Model'!ModelYear&gt;'Bear Model'!EXP_CAP,"",L15*K22+(L16-K21)/L16)</f>
        <v/>
      </c>
      <c r="M17" s="146">
        <f>'Bear Model'!Terminal_EbitGrowth</f>
        <v>0.03</v>
      </c>
    </row>
    <row r="18">
      <c r="A18" s="11" t="s">
        <v>257</v>
      </c>
      <c r="B18" s="147">
        <f>Data!E20</f>
        <v>2065</v>
      </c>
      <c r="C18" s="147">
        <f>IF('Bear Model'!ModelYear&gt;'Bear Model'!EXP_CAP,"",B18*(1+'Bear Model'!Model_EbitGrowth))</f>
        <v>2217.473542</v>
      </c>
      <c r="D18" s="147">
        <f>IF('Bear Model'!ModelYear&gt;'Bear Model'!EXP_CAP,"",C18*(1+'Bear Model'!Model_EbitGrowth))</f>
        <v>2348.458934</v>
      </c>
      <c r="E18" s="147">
        <f>IF('Bear Model'!ModelYear&gt;'Bear Model'!EXP_CAP,"",D18*(1+'Bear Model'!Model_EbitGrowth))</f>
        <v>2459.437058</v>
      </c>
      <c r="F18" s="147">
        <f>IF('Bear Model'!ModelYear&gt;'Bear Model'!EXP_CAP,"",E18*(1+'Bear Model'!Model_EbitGrowth))</f>
        <v>2546.603914</v>
      </c>
      <c r="G18" s="147" t="str">
        <f>IF('Bear Model'!ModelYear&gt;'Bear Model'!EXP_CAP,"",F18*(1+'Bear Model'!Model_EbitGrowth))</f>
        <v/>
      </c>
      <c r="H18" s="147" t="str">
        <f>IF('Bear Model'!ModelYear&gt;'Bear Model'!EXP_CAP,"",G18*(1+'Bear Model'!Model_EbitGrowth))</f>
        <v/>
      </c>
      <c r="I18" s="147" t="str">
        <f>IF('Bear Model'!ModelYear&gt;'Bear Model'!EXP_CAP,"",H18*(1+'Bear Model'!Model_EbitGrowth))</f>
        <v/>
      </c>
      <c r="J18" s="147" t="str">
        <f>IF('Bear Model'!ModelYear&gt;'Bear Model'!EXP_CAP,"",I18*(1+'Bear Model'!Model_EbitGrowth))</f>
        <v/>
      </c>
      <c r="K18" s="147" t="str">
        <f>IF('Bear Model'!ModelYear&gt;'Bear Model'!EXP_CAP,"",J18*(1+'Bear Model'!Model_EbitGrowth))</f>
        <v/>
      </c>
      <c r="L18" s="147" t="str">
        <f>IF('Bear Model'!ModelYear&gt;'Bear Model'!EXP_CAP,"",K18*(1+'Bear Model'!Model_EbitGrowth))</f>
        <v/>
      </c>
      <c r="M18" s="147">
        <f>INDIRECT(ADDRESS(ROW(A18),'Bear Model'!EXP_CAP+2))*(1+'Bear Model'!Terminal_EbitGrowth)</f>
        <v>2623.002031</v>
      </c>
    </row>
    <row r="19">
      <c r="A19" s="138" t="s">
        <v>258</v>
      </c>
      <c r="B19" s="140">
        <v>0.25</v>
      </c>
      <c r="C19" s="142">
        <f>Data!E35</f>
        <v>0.25</v>
      </c>
      <c r="D19" s="142">
        <v>0.25</v>
      </c>
      <c r="E19" s="142">
        <v>0.25</v>
      </c>
      <c r="F19" s="142">
        <v>0.25</v>
      </c>
      <c r="G19" s="142"/>
      <c r="H19" s="142"/>
      <c r="I19" s="142"/>
      <c r="J19" s="142"/>
      <c r="K19" s="142"/>
      <c r="L19" s="142"/>
      <c r="M19" s="140">
        <f>Data!D38</f>
        <v>0.25</v>
      </c>
    </row>
    <row r="20">
      <c r="A20" s="148" t="s">
        <v>180</v>
      </c>
      <c r="B20" s="149">
        <f>B18*(1-B19)</f>
        <v>1548.75</v>
      </c>
      <c r="C20" s="149">
        <f>IF('Bear Model'!ModelYear&gt;'Bear Model'!EXP_CAP,"",C18*(1-C19))</f>
        <v>1663.105156</v>
      </c>
      <c r="D20" s="149">
        <f>IF('Bear Model'!ModelYear&gt;'Bear Model'!EXP_CAP,"",D18*(1-D19))</f>
        <v>1761.344201</v>
      </c>
      <c r="E20" s="149">
        <f>IF('Bear Model'!ModelYear&gt;'Bear Model'!EXP_CAP,"",E18*(1-E19))</f>
        <v>1844.577793</v>
      </c>
      <c r="F20" s="149">
        <f>IF('Bear Model'!ModelYear&gt;'Bear Model'!EXP_CAP,"",F18*(1-F19))</f>
        <v>1909.952935</v>
      </c>
      <c r="G20" s="149"/>
      <c r="H20" s="149" t="str">
        <f>IF('Bear Model'!ModelYear&gt;'Bear Model'!EXP_CAP,"",H18*(1-H19))</f>
        <v/>
      </c>
      <c r="I20" s="149" t="str">
        <f>IF('Bear Model'!ModelYear&gt;'Bear Model'!EXP_CAP,"",I18*(1-I19))</f>
        <v/>
      </c>
      <c r="J20" s="149" t="str">
        <f>IF('Bear Model'!ModelYear&gt;'Bear Model'!EXP_CAP,"",J18*(1-J19))</f>
        <v/>
      </c>
      <c r="K20" s="149" t="str">
        <f>IF('Bear Model'!ModelYear&gt;'Bear Model'!EXP_CAP,"",K18*(1-K19))</f>
        <v/>
      </c>
      <c r="L20" s="149" t="str">
        <f>IF('Bear Model'!ModelYear&gt;'Bear Model'!EXP_CAP,"",L18*(1-L19))</f>
        <v/>
      </c>
      <c r="M20" s="149">
        <f>M18*(1-M19)</f>
        <v>1967.251523</v>
      </c>
    </row>
    <row r="21">
      <c r="A21" s="138" t="s">
        <v>259</v>
      </c>
      <c r="B21" s="140">
        <f>B20/B11</f>
        <v>0.3811838543</v>
      </c>
      <c r="C21" s="140">
        <f>IF('Bear Model'!ModelYear&gt;'Bear Model'!EXP_CAP,"",C20/C11)</f>
        <v>0.3811838543</v>
      </c>
      <c r="D21" s="140">
        <f>IF('Bear Model'!ModelYear&gt;'Bear Model'!EXP_CAP,"",D20/D11)</f>
        <v>0.3811838543</v>
      </c>
      <c r="E21" s="140">
        <f>IF('Bear Model'!ModelYear&gt;'Bear Model'!EXP_CAP,"",E20/E11)</f>
        <v>0.3811838543</v>
      </c>
      <c r="F21" s="140">
        <f>IF('Bear Model'!ModelYear&gt;'Bear Model'!EXP_CAP,"",F20/F11)</f>
        <v>0.3811838543</v>
      </c>
      <c r="G21" s="140" t="str">
        <f>IF('Bear Model'!ModelYear&gt;'Bear Model'!EXP_CAP,"",G20/G11)</f>
        <v/>
      </c>
      <c r="H21" s="140" t="str">
        <f>IF('Bear Model'!ModelYear&gt;'Bear Model'!EXP_CAP,"",H20/H11)</f>
        <v/>
      </c>
      <c r="I21" s="140" t="str">
        <f>IF('Bear Model'!ModelYear&gt;'Bear Model'!EXP_CAP,"",I20/I11)</f>
        <v/>
      </c>
      <c r="J21" s="140" t="str">
        <f>IF('Bear Model'!ModelYear&gt;'Bear Model'!EXP_CAP,"",J20/J11)</f>
        <v/>
      </c>
      <c r="K21" s="140" t="str">
        <f>IF('Bear Model'!ModelYear&gt;'Bear Model'!EXP_CAP,"",K20/K11)</f>
        <v/>
      </c>
      <c r="L21" s="140" t="str">
        <f>IF('Bear Model'!ModelYear&gt;'Bear Model'!EXP_CAP,"",L20/L11)</f>
        <v/>
      </c>
      <c r="M21" s="140">
        <f>Asm!G41</f>
        <v>0.0975</v>
      </c>
    </row>
    <row r="22">
      <c r="A22" s="138" t="s">
        <v>260</v>
      </c>
      <c r="B22" s="150">
        <f>B23/B20</f>
        <v>0.1937046005</v>
      </c>
      <c r="C22" s="143">
        <f t="shared" ref="C22:D22" si="3">B22*0.8</f>
        <v>0.1549636804</v>
      </c>
      <c r="D22" s="143">
        <f t="shared" si="3"/>
        <v>0.1239709443</v>
      </c>
      <c r="E22" s="143">
        <f>D22*0.75</f>
        <v>0.09297820823</v>
      </c>
      <c r="F22" s="143">
        <f>M17/F21</f>
        <v>0.07870217918</v>
      </c>
      <c r="G22" s="143"/>
      <c r="H22" s="143" t="str">
        <f>reinvest_rate('Bear Model'!EXP_Reinvest,'Bear Model'!Terminal_Reinvest,H10,'Bear Model'!EXP_CAP,$K6)</f>
        <v/>
      </c>
      <c r="I22" s="143" t="str">
        <f>reinvest_rate('Bear Model'!EXP_Reinvest,'Bear Model'!Terminal_Reinvest,I10,'Bear Model'!EXP_CAP,$K6)</f>
        <v/>
      </c>
      <c r="J22" s="143" t="str">
        <f>reinvest_rate('Bear Model'!EXP_Reinvest,'Bear Model'!Terminal_Reinvest,J10,'Bear Model'!EXP_CAP,$K6)</f>
        <v/>
      </c>
      <c r="K22" s="143" t="str">
        <f>reinvest_rate('Bear Model'!EXP_Reinvest,'Bear Model'!Terminal_Reinvest,K10,'Bear Model'!EXP_CAP,$K6)</f>
        <v/>
      </c>
      <c r="L22" s="143" t="str">
        <f>reinvest_rate('Bear Model'!EXP_Reinvest,'Bear Model'!Terminal_Reinvest,L10,'Bear Model'!EXP_CAP,$K6)</f>
        <v/>
      </c>
      <c r="M22" s="140">
        <f>'Bear Model'!Terminal_Reinvest</f>
        <v>0.3076923077</v>
      </c>
    </row>
    <row r="23">
      <c r="A23" s="151" t="s">
        <v>261</v>
      </c>
      <c r="B23" s="152">
        <f>IF(Data!C3="FY",Data!X7+Data!AA7,Data!X6+Data!AA6)</f>
        <v>300</v>
      </c>
      <c r="C23" s="152">
        <f>IF('Bear Model'!ModelYear&gt;'Bear Model'!EXP_CAP,"",C20*C22)</f>
        <v>257.7208959</v>
      </c>
      <c r="D23" s="152">
        <f>IF('Bear Model'!ModelYear&gt;'Bear Model'!EXP_CAP,"",D20*D22)</f>
        <v>218.3555038</v>
      </c>
      <c r="E23" s="152">
        <f>IF('Bear Model'!ModelYear&gt;'Bear Model'!EXP_CAP,"",E20*E22)</f>
        <v>171.5055382</v>
      </c>
      <c r="F23" s="152">
        <f>IF('Bear Model'!ModelYear&gt;'Bear Model'!EXP_CAP,"",F20*F22)</f>
        <v>150.3174581</v>
      </c>
      <c r="G23" s="152" t="str">
        <f>IF('Bear Model'!ModelYear&gt;'Bear Model'!EXP_CAP,"",G20*G22)</f>
        <v/>
      </c>
      <c r="H23" s="152" t="str">
        <f>IF('Bear Model'!ModelYear&gt;'Bear Model'!EXP_CAP,"",H20*H22)</f>
        <v/>
      </c>
      <c r="I23" s="152" t="str">
        <f>IF('Bear Model'!ModelYear&gt;'Bear Model'!EXP_CAP,"",I20*I22)</f>
        <v/>
      </c>
      <c r="J23" s="152" t="str">
        <f>IF('Bear Model'!ModelYear&gt;'Bear Model'!EXP_CAP,"",J20*J22)</f>
        <v/>
      </c>
      <c r="K23" s="152" t="str">
        <f>IF('Bear Model'!ModelYear&gt;'Bear Model'!EXP_CAP,"",K20*K22)</f>
        <v/>
      </c>
      <c r="L23" s="152" t="str">
        <f>IF('Bear Model'!ModelYear&gt;'Bear Model'!EXP_CAP,"",L20*L22)</f>
        <v/>
      </c>
      <c r="M23" s="152">
        <f>M20*M22</f>
        <v>605.308161</v>
      </c>
    </row>
    <row r="24">
      <c r="A24" s="153" t="s">
        <v>262</v>
      </c>
      <c r="B24" s="154">
        <f>B20-B23</f>
        <v>1248.75</v>
      </c>
      <c r="C24" s="154">
        <f>IF('Bear Model'!ModelYear&gt;'Bear Model'!EXP_CAP,"",'Bear Model'!Model_NOPAT-C23)</f>
        <v>1405.38426</v>
      </c>
      <c r="D24" s="154">
        <f>IF('Bear Model'!ModelYear&gt;'Bear Model'!EXP_CAP,"",'Bear Model'!Model_NOPAT-D23)</f>
        <v>1542.988697</v>
      </c>
      <c r="E24" s="154">
        <f>IF('Bear Model'!ModelYear&gt;'Bear Model'!EXP_CAP,"",'Bear Model'!Model_NOPAT-E23)</f>
        <v>1673.072255</v>
      </c>
      <c r="F24" s="154">
        <f>IF('Bear Model'!ModelYear&gt;'Bear Model'!EXP_CAP,"",'Bear Model'!Model_NOPAT-F23)</f>
        <v>1759.635477</v>
      </c>
      <c r="G24" s="155" t="str">
        <f>IF('Bear Model'!ModelYear&gt;'Bear Model'!EXP_CAP,"",'Bear Model'!Model_NOPAT-G23)</f>
        <v/>
      </c>
      <c r="H24" s="155" t="str">
        <f>IF('Bear Model'!ModelYear&gt;'Bear Model'!EXP_CAP,"",'Bear Model'!Model_NOPAT-H23)</f>
        <v/>
      </c>
      <c r="I24" s="155" t="str">
        <f>IF('Bear Model'!ModelYear&gt;'Bear Model'!EXP_CAP,"",'Bear Model'!Model_NOPAT-I23)</f>
        <v/>
      </c>
      <c r="J24" s="155" t="str">
        <f>IF('Bear Model'!ModelYear&gt;'Bear Model'!EXP_CAP,"",'Bear Model'!Model_NOPAT-J23)</f>
        <v/>
      </c>
      <c r="K24" s="155" t="str">
        <f>IF('Bear Model'!ModelYear&gt;'Bear Model'!EXP_CAP,"",'Bear Model'!Model_NOPAT-K23)</f>
        <v/>
      </c>
      <c r="L24" s="155" t="str">
        <f>IF('Bear Model'!ModelYear&gt;'Bear Model'!EXP_CAP,"",'Bear Model'!Model_NOPAT-L23)</f>
        <v/>
      </c>
      <c r="M24" s="154">
        <f>M20-M23</f>
        <v>1361.943362</v>
      </c>
    </row>
    <row r="25">
      <c r="A25" s="138" t="s">
        <v>263</v>
      </c>
      <c r="B25" s="69"/>
      <c r="C25" s="140">
        <f>discount_rate('Bear Model'!EXP_Wacc,'Bear Model'!Terminal_Wacc,C10,'Bear Model'!EXP_CAP,$K6)</f>
        <v>0.075</v>
      </c>
      <c r="D25" s="140">
        <f>discount_rate('Bear Model'!EXP_Wacc,'Bear Model'!Terminal_Wacc,D10,'Bear Model'!EXP_CAP,$K6)</f>
        <v>0.075</v>
      </c>
      <c r="E25" s="140">
        <f>discount_rate('Bear Model'!EXP_Wacc,'Bear Model'!Terminal_Wacc,E10,'Bear Model'!EXP_CAP,$K6)</f>
        <v>0.08625</v>
      </c>
      <c r="F25" s="140">
        <f>discount_rate('Bear Model'!EXP_Wacc,'Bear Model'!Terminal_Wacc,F10,'Bear Model'!EXP_CAP,$K6)</f>
        <v>0.0975</v>
      </c>
      <c r="G25" s="140" t="str">
        <f>discount_rate('Bear Model'!EXP_Wacc,'Bear Model'!Terminal_Wacc,G10,'Bear Model'!EXP_CAP,$K6)</f>
        <v/>
      </c>
      <c r="H25" s="140" t="str">
        <f>discount_rate('Bear Model'!EXP_Wacc,'Bear Model'!Terminal_Wacc,H10,'Bear Model'!EXP_CAP,$K6)</f>
        <v/>
      </c>
      <c r="I25" s="140" t="str">
        <f>discount_rate('Bear Model'!EXP_Wacc,'Bear Model'!Terminal_Wacc,I10,'Bear Model'!EXP_CAP,$K6)</f>
        <v/>
      </c>
      <c r="J25" s="140" t="str">
        <f>discount_rate('Bear Model'!EXP_Wacc,'Bear Model'!Terminal_Wacc,J10,'Bear Model'!EXP_CAP,$K6)</f>
        <v/>
      </c>
      <c r="K25" s="140" t="str">
        <f>discount_rate('Bear Model'!EXP_Wacc,'Bear Model'!Terminal_Wacc,K10,'Bear Model'!EXP_CAP,$K6)</f>
        <v/>
      </c>
      <c r="L25" s="140" t="str">
        <f>discount_rate('Bear Model'!EXP_Wacc,'Bear Model'!Terminal_Wacc,L10,'Bear Model'!EXP_CAP,$K6)</f>
        <v/>
      </c>
      <c r="M25" s="140">
        <f>'Bear Model'!Terminal_Wacc</f>
        <v>0.0975</v>
      </c>
    </row>
    <row r="26">
      <c r="A26" s="156" t="s">
        <v>264</v>
      </c>
      <c r="B26" s="157"/>
      <c r="C26" s="158">
        <f>IF('Bear Model'!ModelYear&gt;'Bear Model'!EXP_CAP,"",1+C25)</f>
        <v>1.075</v>
      </c>
      <c r="D26" s="158">
        <f>IF('Bear Model'!ModelYear&gt;'Bear Model'!EXP_CAP,"",(1+C25)*(1+D25))</f>
        <v>1.155625</v>
      </c>
      <c r="E26" s="158">
        <f>IF('Bear Model'!ModelYear&gt;'Bear Model'!EXP_CAP,"",(1+C25)*(1+D25)*(1+E25))</f>
        <v>1.255297656</v>
      </c>
      <c r="F26" s="158">
        <f>IF('Bear Model'!ModelYear&gt;'Bear Model'!EXP_CAP,"",(1+C25)*(1+D25)*(1+E25)*(1+F25))</f>
        <v>1.377689178</v>
      </c>
      <c r="G26" s="158" t="str">
        <f>IF('Bear Model'!ModelYear&gt;'Bear Model'!EXP_CAP,"",(1+C25)*(1+D25)*(1+E25)*(1+F25)*(1+G25))</f>
        <v/>
      </c>
      <c r="H26" s="158" t="str">
        <f>IF('Bear Model'!ModelYear&gt;'Bear Model'!EXP_CAP,"",(1+C25)*(1+D25)*(1+E25)*(1+F25)*(1+G25)*(1+H25))</f>
        <v/>
      </c>
      <c r="I26" s="158" t="str">
        <f>IF('Bear Model'!ModelYear&gt;'Bear Model'!EXP_CAP,"",(1+C25)*(1+D25)*(1+E25)*(1+F25)*(1+G25)*(1+H25)*(1+I25))</f>
        <v/>
      </c>
      <c r="J26" s="158" t="str">
        <f>IF('Bear Model'!ModelYear&gt;'Bear Model'!EXP_CAP,"",(1+C25)*(1+D25)*(1+E25)*(1+F25)*(1+G25)*(1+H25)*(1+I25)*(1+J25))</f>
        <v/>
      </c>
      <c r="K26" s="158" t="str">
        <f>IF('Bear Model'!ModelYear&gt;'Bear Model'!EXP_CAP,"",(1+C25)*(1+D25)*(1+E25)*(1+F25)*(1+G25)*(1+H25)*(1+I25)*(1+J25)*(1+K25))</f>
        <v/>
      </c>
      <c r="L26" s="158" t="str">
        <f>IF('Bear Model'!ModelYear&gt;'Bear Model'!EXP_CAP,"",(1+C25)*(1+D25)*(1+E25)*(1+F25)*(1+G25)*(1+H25)*(1+I25)*(1+J25)*(1+K25)*(1+L25))</f>
        <v/>
      </c>
      <c r="M26" s="159"/>
    </row>
    <row r="27">
      <c r="A27" s="151" t="s">
        <v>265</v>
      </c>
      <c r="B27" s="160"/>
      <c r="C27" s="152">
        <f>IF('Bear Model'!ModelYear&gt;'Bear Model'!EXP_CAP,"",'Bear Model'!Model_FCFF/C26)</f>
        <v>1307.334196</v>
      </c>
      <c r="D27" s="152">
        <f>IF('Bear Model'!ModelYear&gt;'Bear Model'!EXP_CAP,"",'Bear Model'!Model_FCFF/D26)</f>
        <v>1335.19844</v>
      </c>
      <c r="E27" s="152">
        <f>IF('Bear Model'!ModelYear&gt;'Bear Model'!EXP_CAP,"",'Bear Model'!Model_FCFF/E26)</f>
        <v>1332.809192</v>
      </c>
      <c r="F27" s="152">
        <f>IF('Bear Model'!ModelYear&gt;'Bear Model'!EXP_CAP,"",'Bear Model'!Model_FCFF/F26)</f>
        <v>1277.236916</v>
      </c>
      <c r="G27" s="152" t="str">
        <f>IF('Bear Model'!ModelYear&gt;'Bear Model'!EXP_CAP,"",'Bear Model'!Model_FCFF/G26)</f>
        <v/>
      </c>
      <c r="H27" s="152" t="str">
        <f>IF('Bear Model'!ModelYear&gt;'Bear Model'!EXP_CAP,"",'Bear Model'!Model_FCFF/H26)</f>
        <v/>
      </c>
      <c r="I27" s="152" t="str">
        <f>IF('Bear Model'!ModelYear&gt;'Bear Model'!EXP_CAP,"",'Bear Model'!Model_FCFF/I26)</f>
        <v/>
      </c>
      <c r="J27" s="152" t="str">
        <f>IF('Bear Model'!ModelYear&gt;'Bear Model'!EXP_CAP,"",'Bear Model'!Model_FCFF/J26)</f>
        <v/>
      </c>
      <c r="K27" s="152" t="str">
        <f>IF('Bear Model'!ModelYear&gt;'Bear Model'!EXP_CAP,"",'Bear Model'!Model_FCFF/K26)</f>
        <v/>
      </c>
      <c r="L27" s="152" t="str">
        <f>IF('Bear Model'!ModelYear&gt;'Bear Model'!EXP_CAP,"",'Bear Model'!Model_FCFF/L26)</f>
        <v/>
      </c>
      <c r="M27" s="159"/>
    </row>
    <row r="29">
      <c r="A29" s="46" t="s">
        <v>266</v>
      </c>
      <c r="C29" s="11" t="s">
        <v>267</v>
      </c>
      <c r="D29" s="11" t="s">
        <v>268</v>
      </c>
    </row>
    <row r="30">
      <c r="A30" s="11" t="s">
        <v>269</v>
      </c>
      <c r="C30" s="140">
        <f>D30/D32</f>
        <v>0.2327128526</v>
      </c>
      <c r="D30" s="147">
        <f>SUM(C27:L27)</f>
        <v>5252.578744</v>
      </c>
    </row>
    <row r="31">
      <c r="A31" s="11" t="s">
        <v>270</v>
      </c>
      <c r="C31" s="140">
        <f>1-C30</f>
        <v>0.7672871474</v>
      </c>
      <c r="D31" s="152">
        <f>M24/('Bear Model'!Terminal_Wacc-'Bear Model'!Terminal_EbitGrowth)/IF('Bear Model'!EXP_CAP=0,1,INDIRECT(ADDRESS(ROW(A26),'Bear Model'!EXP_CAP+2)))</f>
        <v>14645.49408</v>
      </c>
      <c r="E31" s="161"/>
    </row>
    <row r="32">
      <c r="A32" s="11" t="s">
        <v>271</v>
      </c>
      <c r="D32" s="152">
        <f>D30+D31+MV_NonOpAssets+IF(Data!S6="",Data!S7,Data!S6)</f>
        <v>22571.07283</v>
      </c>
      <c r="E32" s="161"/>
    </row>
    <row r="34">
      <c r="A34" s="11" t="s">
        <v>272</v>
      </c>
      <c r="D34" s="147">
        <f>Data!D42</f>
        <v>1602</v>
      </c>
    </row>
    <row r="35">
      <c r="A35" s="11" t="s">
        <v>273</v>
      </c>
      <c r="D35" s="162">
        <f>D32-D34</f>
        <v>20969.07283</v>
      </c>
      <c r="E35" s="7"/>
    </row>
    <row r="36">
      <c r="A36" s="11" t="s">
        <v>274</v>
      </c>
      <c r="D36" s="147">
        <f>Data!E52</f>
        <v>0</v>
      </c>
    </row>
    <row r="37">
      <c r="A37" s="11" t="s">
        <v>275</v>
      </c>
      <c r="D37" s="147">
        <f>Data!D43</f>
        <v>0</v>
      </c>
    </row>
    <row r="38">
      <c r="A38" s="11" t="s">
        <v>276</v>
      </c>
      <c r="D38" s="162">
        <f>D35-D36-D37</f>
        <v>20969.07283</v>
      </c>
      <c r="E38" s="7"/>
      <c r="F38" s="163" t="str">
        <f>Asm!C11</f>
        <v>HKD</v>
      </c>
    </row>
    <row r="39">
      <c r="A39" s="11" t="s">
        <v>277</v>
      </c>
      <c r="E39" s="164">
        <f>price_pershare(D38,Data!F2,Cs_Shares,Asm!C12)</f>
        <v>83.35212878</v>
      </c>
      <c r="F39" s="165" t="str">
        <f>Asm!D6</f>
        <v>HKD</v>
      </c>
    </row>
    <row r="41">
      <c r="A41" s="46" t="s">
        <v>278</v>
      </c>
      <c r="B41" s="11" t="s">
        <v>279</v>
      </c>
      <c r="D41" s="133" t="str">
        <f>F39</f>
        <v>HKD</v>
      </c>
      <c r="E41" s="133" t="str">
        <f>Asm!C6</f>
        <v>$52.1</v>
      </c>
      <c r="F41" s="11" t="s">
        <v>280</v>
      </c>
      <c r="G41" s="166">
        <f>E41/E39-1</f>
        <v>-0.3749409792</v>
      </c>
      <c r="H41" s="11" t="str">
        <f>IF(G41&lt;0,"undervalued","overvalued") &amp; " by the market."</f>
        <v>undervalued by the market.</v>
      </c>
    </row>
  </sheetData>
  <mergeCells count="9">
    <mergeCell ref="D37:E37"/>
    <mergeCell ref="D38:E38"/>
    <mergeCell ref="A1:C1"/>
    <mergeCell ref="D30:E30"/>
    <mergeCell ref="D31:E31"/>
    <mergeCell ref="D32:E32"/>
    <mergeCell ref="D34:E34"/>
    <mergeCell ref="D35:E35"/>
    <mergeCell ref="D36:E36"/>
  </mergeCells>
  <dataValidations>
    <dataValidation type="list" allowBlank="1" sqref="B3">
      <formula1>"Base Case,Bear Case,Bull Case"</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showGridLines="0" workbookViewId="0"/>
  </sheetViews>
  <sheetFormatPr customHeight="1" defaultColWidth="12.63" defaultRowHeight="15.75"/>
  <cols>
    <col customWidth="1" min="1" max="1" width="26.88"/>
  </cols>
  <sheetData>
    <row r="1">
      <c r="A1" s="130" t="s">
        <v>238</v>
      </c>
    </row>
    <row r="3">
      <c r="A3" s="46" t="s">
        <v>239</v>
      </c>
      <c r="B3" s="131" t="s">
        <v>81</v>
      </c>
    </row>
    <row r="4">
      <c r="A4" s="132" t="s">
        <v>240</v>
      </c>
      <c r="E4" s="132" t="s">
        <v>241</v>
      </c>
      <c r="I4" s="132" t="s">
        <v>242</v>
      </c>
    </row>
    <row r="5">
      <c r="A5" s="11" t="s">
        <v>70</v>
      </c>
      <c r="C5" s="125">
        <f>IF(B3="Base Case",Asm!E39,IF(B3="Bear Case",Asm!D39,Asm!F39))</f>
        <v>0.04946693882</v>
      </c>
      <c r="E5" s="11" t="s">
        <v>70</v>
      </c>
      <c r="G5" s="125">
        <f>Asm!G39</f>
        <v>0.03</v>
      </c>
      <c r="I5" s="11" t="s">
        <v>69</v>
      </c>
      <c r="K5" s="133">
        <f>IF(B3="Base Case",Asm!E37,IF(B3="Bear Case",Asm!D37,Asm!F37))</f>
        <v>5</v>
      </c>
    </row>
    <row r="6">
      <c r="A6" s="11" t="s">
        <v>243</v>
      </c>
      <c r="C6" s="125">
        <f>IF(B3="Base Case",Asm!E40,IF(B3="Bear Case",Asm!D40,Asm!F40))</f>
        <v>0.1297663663</v>
      </c>
      <c r="E6" s="11" t="s">
        <v>244</v>
      </c>
      <c r="G6" s="125">
        <f>Asm!G40</f>
        <v>0.3076923077</v>
      </c>
      <c r="I6" s="11" t="s">
        <v>245</v>
      </c>
      <c r="K6" s="134">
        <f>_xlfn.CEILING.MATH((K5/2))</f>
        <v>3</v>
      </c>
    </row>
    <row r="7">
      <c r="A7" s="11" t="s">
        <v>246</v>
      </c>
      <c r="C7" s="135">
        <f>Asm!C26</f>
        <v>0.075</v>
      </c>
      <c r="E7" s="11" t="s">
        <v>246</v>
      </c>
      <c r="G7" s="135">
        <f>Asm!C27</f>
        <v>0.0975</v>
      </c>
    </row>
    <row r="9">
      <c r="A9" s="46" t="s">
        <v>247</v>
      </c>
      <c r="B9" s="11" t="s">
        <v>248</v>
      </c>
    </row>
    <row r="10">
      <c r="A10" s="136" t="str">
        <f>"(Numbers in "&amp;Data!F2&amp;Asm!C11&amp;")"</f>
        <v>(Numbers in 1000000HKD)</v>
      </c>
      <c r="B10" s="137" t="str">
        <f>"Actual "&amp;IF(L10="",Data!B7,"LTM")</f>
        <v>Actual LTM</v>
      </c>
      <c r="C10" s="137">
        <v>1.0</v>
      </c>
      <c r="D10" s="137">
        <v>2.0</v>
      </c>
      <c r="E10" s="137">
        <v>3.0</v>
      </c>
      <c r="F10" s="137">
        <v>4.0</v>
      </c>
      <c r="G10" s="137">
        <v>5.0</v>
      </c>
      <c r="H10" s="137">
        <v>6.0</v>
      </c>
      <c r="I10" s="137">
        <v>7.0</v>
      </c>
      <c r="J10" s="137">
        <v>8.0</v>
      </c>
      <c r="K10" s="137">
        <v>9.0</v>
      </c>
      <c r="L10" s="137">
        <v>10.0</v>
      </c>
      <c r="M10" s="137" t="s">
        <v>249</v>
      </c>
    </row>
    <row r="11">
      <c r="A11" s="138" t="s">
        <v>250</v>
      </c>
      <c r="B11" s="139">
        <f>IF(Data!U6="",Data!U8,Data!U7)</f>
        <v>4063</v>
      </c>
      <c r="C11" s="139">
        <f>IF(ModelYear&gt;EXP_CAP,"",B11+B23)</f>
        <v>4363</v>
      </c>
      <c r="D11" s="139">
        <f>IF(ModelYear&gt;EXP_CAP,"",C11+C23)</f>
        <v>4620.731812</v>
      </c>
      <c r="E11" s="139">
        <f>IF(ModelYear&gt;EXP_CAP,"",D11+D23)</f>
        <v>4880.040568</v>
      </c>
      <c r="F11" s="139">
        <f>IF(ModelYear&gt;EXP_CAP,"",E11+E23)</f>
        <v>5099.129198</v>
      </c>
      <c r="G11" s="139">
        <f>IF(ModelYear&gt;EXP_CAP,"",F11+F23)</f>
        <v>5236.483945</v>
      </c>
      <c r="H11" s="139" t="str">
        <f>IF(ModelYear&gt;EXP_CAP,"",G11+G23)</f>
        <v/>
      </c>
      <c r="I11" s="139" t="str">
        <f>IF(ModelYear&gt;EXP_CAP,"",H11+H23)</f>
        <v/>
      </c>
      <c r="J11" s="139" t="str">
        <f>IF(ModelYear&gt;EXP_CAP,"",I11+I23)</f>
        <v/>
      </c>
      <c r="K11" s="139" t="str">
        <f>IF(ModelYear&gt;EXP_CAP,"",J11+J23)</f>
        <v/>
      </c>
      <c r="L11" s="139" t="str">
        <f>IF(ModelYear&gt;EXP_CAP,"",K11+K23)</f>
        <v/>
      </c>
      <c r="M11" s="70"/>
    </row>
    <row r="12">
      <c r="A12" s="138" t="s">
        <v>251</v>
      </c>
      <c r="B12" s="69"/>
      <c r="C12" s="140">
        <f>IF(ModelYear&gt;EXP_CAP,"",C13/B13-1)</f>
        <v>0.8664457213</v>
      </c>
      <c r="D12" s="140">
        <f>IF(ModelYear&gt;EXP_CAP,"",D13/C13-1)</f>
        <v>0.05907215663</v>
      </c>
      <c r="E12" s="140">
        <f>IF(ModelYear&gt;EXP_CAP,"",E13/D13-1)</f>
        <v>0.05611854722</v>
      </c>
      <c r="F12" s="140">
        <f>IF(ModelYear&gt;EXP_CAP,"",F13/E13-1)</f>
        <v>0.04489483777</v>
      </c>
      <c r="G12" s="140">
        <f>IF(ModelYear&gt;EXP_CAP,"",G13/F13-1)</f>
        <v>0.02693690266</v>
      </c>
      <c r="H12" s="140" t="str">
        <f>IF(ModelYear&gt;EXP_CAP,"",H13/G13-1)</f>
        <v/>
      </c>
      <c r="I12" s="140" t="str">
        <f>IF(ModelYear&gt;EXP_CAP,"",I13/H13-1)</f>
        <v/>
      </c>
      <c r="J12" s="140" t="str">
        <f>IF(ModelYear&gt;EXP_CAP,"",J13/I13-1)</f>
        <v/>
      </c>
      <c r="K12" s="140" t="str">
        <f>IF(ModelYear&gt;EXP_CAP,"",K13/J13-1)</f>
        <v/>
      </c>
      <c r="L12" s="140" t="str">
        <f>IF(ModelYear&gt;EXP_CAP,"",L13/K13-1)</f>
        <v/>
      </c>
      <c r="M12" s="140">
        <f>M13/INDIRECT(ADDRESS(ROW(A13),EXP_CAP+2))-1</f>
        <v>0.03</v>
      </c>
    </row>
    <row r="13">
      <c r="A13" s="11" t="s">
        <v>252</v>
      </c>
      <c r="B13" s="141">
        <f>IF(Data!C6="",Data!C7,Data!C6)</f>
        <v>18392</v>
      </c>
      <c r="C13" s="141">
        <f>IF(ModelYear&gt;EXP_CAP,"",C18/C14)</f>
        <v>34327.66971</v>
      </c>
      <c r="D13" s="141">
        <f>IF(ModelYear&gt;EXP_CAP,"",D18/D14)</f>
        <v>36355.47919</v>
      </c>
      <c r="E13" s="141">
        <f>IF(ModelYear&gt;EXP_CAP,"",E18/E14)</f>
        <v>38395.69586</v>
      </c>
      <c r="F13" s="141">
        <f>IF(ModelYear&gt;EXP_CAP,"",F18/F14)</f>
        <v>40119.4644</v>
      </c>
      <c r="G13" s="141">
        <f>IF(ModelYear&gt;EXP_CAP,"",G18/G14)</f>
        <v>41200.15851</v>
      </c>
      <c r="H13" s="141" t="str">
        <f>IF(ModelYear&gt;EXP_CAP,"",H18/H14)</f>
        <v/>
      </c>
      <c r="I13" s="141" t="str">
        <f>IF(ModelYear&gt;EXP_CAP,"",I18/I14)</f>
        <v/>
      </c>
      <c r="J13" s="141" t="str">
        <f>IF(ModelYear&gt;EXP_CAP,"",J18/J14)</f>
        <v/>
      </c>
      <c r="K13" s="141" t="str">
        <f>IF(ModelYear&gt;EXP_CAP,"",K18/K14)</f>
        <v/>
      </c>
      <c r="L13" s="141" t="str">
        <f>IF(ModelYear&gt;EXP_CAP,"",L18/L14)</f>
        <v/>
      </c>
      <c r="M13" s="141">
        <f>M18/M14</f>
        <v>42436.16326</v>
      </c>
    </row>
    <row r="14">
      <c r="A14" s="138" t="s">
        <v>253</v>
      </c>
      <c r="B14" s="140">
        <f>B18/B13</f>
        <v>0.112277077</v>
      </c>
      <c r="C14" s="142">
        <v>0.0646</v>
      </c>
      <c r="D14" s="142">
        <v>0.0646</v>
      </c>
      <c r="E14" s="142">
        <v>0.0646</v>
      </c>
      <c r="F14" s="142">
        <v>0.0646</v>
      </c>
      <c r="G14" s="142">
        <v>0.0646</v>
      </c>
      <c r="H14" s="142"/>
      <c r="I14" s="142"/>
      <c r="J14" s="142"/>
      <c r="K14" s="142"/>
      <c r="L14" s="142"/>
      <c r="M14" s="142">
        <v>0.0646</v>
      </c>
    </row>
    <row r="15">
      <c r="A15" s="138" t="s">
        <v>254</v>
      </c>
      <c r="B15" s="116"/>
      <c r="C15" s="143">
        <v>0.3812</v>
      </c>
      <c r="D15" s="143">
        <v>0.3812</v>
      </c>
      <c r="E15" s="143">
        <v>0.3812</v>
      </c>
      <c r="F15" s="143">
        <v>0.3812</v>
      </c>
      <c r="G15" s="143">
        <v>0.3812</v>
      </c>
      <c r="H15" s="143"/>
      <c r="I15" s="143"/>
      <c r="J15" s="143"/>
      <c r="K15" s="143"/>
      <c r="L15" s="143"/>
      <c r="M15" s="116"/>
    </row>
    <row r="16">
      <c r="A16" s="138" t="s">
        <v>255</v>
      </c>
      <c r="B16" s="69"/>
      <c r="C16" s="143">
        <v>0.3812</v>
      </c>
      <c r="D16" s="143">
        <v>0.3812</v>
      </c>
      <c r="E16" s="143">
        <v>0.3812</v>
      </c>
      <c r="F16" s="143">
        <v>0.3812</v>
      </c>
      <c r="G16" s="143">
        <v>0.3812</v>
      </c>
      <c r="H16" s="143"/>
      <c r="I16" s="143"/>
      <c r="J16" s="143"/>
      <c r="K16" s="143"/>
      <c r="L16" s="143"/>
      <c r="M16" s="116"/>
    </row>
    <row r="17">
      <c r="A17" s="144" t="s">
        <v>256</v>
      </c>
      <c r="B17" s="145"/>
      <c r="C17" s="146">
        <f>IF(ModelYear&gt;EXP_CAP,"",C15*B22+(C16-B21)/C16)</f>
        <v>0.07388254865</v>
      </c>
      <c r="D17" s="146">
        <f>IF(ModelYear&gt;EXP_CAP,"",D15*C22+(D16-C21)/D16)</f>
        <v>0.05907215663</v>
      </c>
      <c r="E17" s="146">
        <f>IF(ModelYear&gt;EXP_CAP,"",E15*D22+(E16-D21)/E16)</f>
        <v>0.05611854722</v>
      </c>
      <c r="F17" s="146">
        <f>IF(ModelYear&gt;EXP_CAP,"",F15*E22+(F16-E21)/F16)</f>
        <v>0.04489483777</v>
      </c>
      <c r="G17" s="146">
        <f>IF(ModelYear&gt;EXP_CAP,"",G15*F22+(G16-F21)/G16)</f>
        <v>0.02693690266</v>
      </c>
      <c r="H17" s="146" t="str">
        <f>IF(ModelYear&gt;EXP_CAP,"",H15*G22+(H16-G21)/H16)</f>
        <v/>
      </c>
      <c r="I17" s="146" t="str">
        <f>IF(ModelYear&gt;EXP_CAP,"",I15*H22+(I16-H21)/I16)</f>
        <v/>
      </c>
      <c r="J17" s="146" t="str">
        <f>IF(ModelYear&gt;EXP_CAP,"",J15*I22+(J16-I21)/J16)</f>
        <v/>
      </c>
      <c r="K17" s="146" t="str">
        <f>IF(ModelYear&gt;EXP_CAP,"",K15*J22+(K16-J21)/K16)</f>
        <v/>
      </c>
      <c r="L17" s="146" t="str">
        <f>IF(ModelYear&gt;EXP_CAP,"",L15*K22+(L16-K21)/L16)</f>
        <v/>
      </c>
      <c r="M17" s="146">
        <f>Terminal_EbitGrowth</f>
        <v>0.03</v>
      </c>
    </row>
    <row r="18">
      <c r="A18" s="11" t="s">
        <v>257</v>
      </c>
      <c r="B18" s="147">
        <f>Data!E20</f>
        <v>2065</v>
      </c>
      <c r="C18" s="147">
        <f>IF(ModelYear&gt;EXP_CAP,"",B18*(1+Model_EbitGrowth))</f>
        <v>2217.567463</v>
      </c>
      <c r="D18" s="147">
        <f>IF(ModelYear&gt;EXP_CAP,"",C18*(1+Model_EbitGrowth))</f>
        <v>2348.563955</v>
      </c>
      <c r="E18" s="147">
        <f>IF(ModelYear&gt;EXP_CAP,"",D18*(1+Model_EbitGrowth))</f>
        <v>2480.361953</v>
      </c>
      <c r="F18" s="147">
        <f>IF(ModelYear&gt;EXP_CAP,"",E18*(1+Model_EbitGrowth))</f>
        <v>2591.7174</v>
      </c>
      <c r="G18" s="147">
        <f>IF(ModelYear&gt;EXP_CAP,"",F18*(1+Model_EbitGrowth))</f>
        <v>2661.53024</v>
      </c>
      <c r="H18" s="147" t="str">
        <f>IF(ModelYear&gt;EXP_CAP,"",G18*(1+Model_EbitGrowth))</f>
        <v/>
      </c>
      <c r="I18" s="147" t="str">
        <f>IF(ModelYear&gt;EXP_CAP,"",H18*(1+Model_EbitGrowth))</f>
        <v/>
      </c>
      <c r="J18" s="147" t="str">
        <f>IF(ModelYear&gt;EXP_CAP,"",I18*(1+Model_EbitGrowth))</f>
        <v/>
      </c>
      <c r="K18" s="147" t="str">
        <f>IF(ModelYear&gt;EXP_CAP,"",J18*(1+Model_EbitGrowth))</f>
        <v/>
      </c>
      <c r="L18" s="147" t="str">
        <f>IF(ModelYear&gt;EXP_CAP,"",K18*(1+Model_EbitGrowth))</f>
        <v/>
      </c>
      <c r="M18" s="147">
        <f>INDIRECT(ADDRESS(ROW(A18),EXP_CAP+2))*(1+Terminal_EbitGrowth)</f>
        <v>2741.376147</v>
      </c>
    </row>
    <row r="19">
      <c r="A19" s="138" t="s">
        <v>258</v>
      </c>
      <c r="B19" s="140">
        <v>0.25</v>
      </c>
      <c r="C19" s="142">
        <f>Data!E35</f>
        <v>0.25</v>
      </c>
      <c r="D19" s="142">
        <v>0.25</v>
      </c>
      <c r="E19" s="142">
        <v>0.25</v>
      </c>
      <c r="F19" s="142">
        <v>0.25</v>
      </c>
      <c r="G19" s="142">
        <v>0.25</v>
      </c>
      <c r="H19" s="142"/>
      <c r="I19" s="142"/>
      <c r="J19" s="142"/>
      <c r="K19" s="142"/>
      <c r="L19" s="142"/>
      <c r="M19" s="140">
        <f>Data!D38</f>
        <v>0.25</v>
      </c>
    </row>
    <row r="20">
      <c r="A20" s="148" t="s">
        <v>180</v>
      </c>
      <c r="B20" s="149">
        <f>B18*(1-B19)</f>
        <v>1548.75</v>
      </c>
      <c r="C20" s="149">
        <f>IF(ModelYear&gt;EXP_CAP,"",C18*(1-C19))</f>
        <v>1663.175597</v>
      </c>
      <c r="D20" s="149">
        <f>IF(ModelYear&gt;EXP_CAP,"",D18*(1-D19))</f>
        <v>1761.422967</v>
      </c>
      <c r="E20" s="149">
        <f>IF(ModelYear&gt;EXP_CAP,"",E18*(1-E19))</f>
        <v>1860.271465</v>
      </c>
      <c r="F20" s="149">
        <f>IF(ModelYear&gt;EXP_CAP,"",F18*(1-F19))</f>
        <v>1943.78805</v>
      </c>
      <c r="G20" s="149">
        <f>IF(ModelYear&gt;EXP_CAP,"",G18*(1-G19))</f>
        <v>1996.14768</v>
      </c>
      <c r="H20" s="149" t="str">
        <f>IF(ModelYear&gt;EXP_CAP,"",H18*(1-H19))</f>
        <v/>
      </c>
      <c r="I20" s="149" t="str">
        <f>IF(ModelYear&gt;EXP_CAP,"",I18*(1-I19))</f>
        <v/>
      </c>
      <c r="J20" s="149" t="str">
        <f>IF(ModelYear&gt;EXP_CAP,"",J18*(1-J19))</f>
        <v/>
      </c>
      <c r="K20" s="149" t="str">
        <f>IF(ModelYear&gt;EXP_CAP,"",K18*(1-K19))</f>
        <v/>
      </c>
      <c r="L20" s="149" t="str">
        <f>IF(ModelYear&gt;EXP_CAP,"",L18*(1-L19))</f>
        <v/>
      </c>
      <c r="M20" s="149">
        <f>M18*(1-M19)</f>
        <v>2056.03211</v>
      </c>
    </row>
    <row r="21">
      <c r="A21" s="138" t="s">
        <v>259</v>
      </c>
      <c r="B21" s="140">
        <f>B20/B11</f>
        <v>0.3811838543</v>
      </c>
      <c r="C21" s="140">
        <f>IF(ModelYear&gt;EXP_CAP,"",C20/C11)</f>
        <v>0.3811999994</v>
      </c>
      <c r="D21" s="140">
        <f>IF(ModelYear&gt;EXP_CAP,"",D20/D11)</f>
        <v>0.3812</v>
      </c>
      <c r="E21" s="140">
        <f>IF(ModelYear&gt;EXP_CAP,"",E20/E11)</f>
        <v>0.3812</v>
      </c>
      <c r="F21" s="140">
        <f>IF(ModelYear&gt;EXP_CAP,"",F20/F11)</f>
        <v>0.3812</v>
      </c>
      <c r="G21" s="140">
        <f>IF(ModelYear&gt;EXP_CAP,"",G20/G11)</f>
        <v>0.3812</v>
      </c>
      <c r="H21" s="140" t="str">
        <f>IF(ModelYear&gt;EXP_CAP,"",H20/H11)</f>
        <v/>
      </c>
      <c r="I21" s="140" t="str">
        <f>IF(ModelYear&gt;EXP_CAP,"",I20/I11)</f>
        <v/>
      </c>
      <c r="J21" s="140" t="str">
        <f>IF(ModelYear&gt;EXP_CAP,"",J20/J11)</f>
        <v/>
      </c>
      <c r="K21" s="140" t="str">
        <f>IF(ModelYear&gt;EXP_CAP,"",K20/K11)</f>
        <v/>
      </c>
      <c r="L21" s="140" t="str">
        <f>IF(ModelYear&gt;EXP_CAP,"",L20/L11)</f>
        <v/>
      </c>
      <c r="M21" s="140">
        <f>Asm!G41</f>
        <v>0.0975</v>
      </c>
    </row>
    <row r="22">
      <c r="A22" s="138" t="s">
        <v>260</v>
      </c>
      <c r="B22" s="150">
        <f>B23/B20</f>
        <v>0.1937046005</v>
      </c>
      <c r="C22" s="143">
        <f>B22*0.8</f>
        <v>0.1549636804</v>
      </c>
      <c r="D22" s="143">
        <f>C22*0.95</f>
        <v>0.1472154964</v>
      </c>
      <c r="E22" s="143">
        <f>D22*0.8</f>
        <v>0.1177723971</v>
      </c>
      <c r="F22" s="143">
        <f>E22*0.6</f>
        <v>0.07066343826</v>
      </c>
      <c r="G22" s="143">
        <f>M17/G21</f>
        <v>0.07869884575</v>
      </c>
      <c r="H22" s="143" t="str">
        <f>reinvest_rate(EXP_Reinvest,Terminal_Reinvest,H10,EXP_CAP,$K6)</f>
        <v/>
      </c>
      <c r="I22" s="143" t="str">
        <f>reinvest_rate(EXP_Reinvest,Terminal_Reinvest,I10,EXP_CAP,$K6)</f>
        <v/>
      </c>
      <c r="J22" s="143" t="str">
        <f>reinvest_rate(EXP_Reinvest,Terminal_Reinvest,J10,EXP_CAP,$K6)</f>
        <v/>
      </c>
      <c r="K22" s="143" t="str">
        <f>reinvest_rate(EXP_Reinvest,Terminal_Reinvest,K10,EXP_CAP,$K6)</f>
        <v/>
      </c>
      <c r="L22" s="143" t="str">
        <f>reinvest_rate(EXP_Reinvest,Terminal_Reinvest,L10,EXP_CAP,$K6)</f>
        <v/>
      </c>
      <c r="M22" s="140">
        <f>Terminal_Reinvest</f>
        <v>0.3076923077</v>
      </c>
    </row>
    <row r="23">
      <c r="A23" s="151" t="s">
        <v>261</v>
      </c>
      <c r="B23" s="152">
        <f>IF(Data!C3="FY",Data!X7+Data!AA7,Data!X6+Data!AA6)</f>
        <v>300</v>
      </c>
      <c r="C23" s="152">
        <f>IF(ModelYear&gt;EXP_CAP,"",C20*C22)</f>
        <v>257.7318117</v>
      </c>
      <c r="D23" s="152">
        <f>IF(ModelYear&gt;EXP_CAP,"",D20*D22)</f>
        <v>259.3087563</v>
      </c>
      <c r="E23" s="152">
        <f>IF(ModelYear&gt;EXP_CAP,"",E20*E22)</f>
        <v>219.0886296</v>
      </c>
      <c r="F23" s="152">
        <f>IF(ModelYear&gt;EXP_CAP,"",F20*F22)</f>
        <v>137.3547469</v>
      </c>
      <c r="G23" s="152">
        <f>IF(ModelYear&gt;EXP_CAP,"",G20*G22)</f>
        <v>157.0945183</v>
      </c>
      <c r="H23" s="152" t="str">
        <f>IF(ModelYear&gt;EXP_CAP,"",H20*H22)</f>
        <v/>
      </c>
      <c r="I23" s="152" t="str">
        <f>IF(ModelYear&gt;EXP_CAP,"",I20*I22)</f>
        <v/>
      </c>
      <c r="J23" s="152" t="str">
        <f>IF(ModelYear&gt;EXP_CAP,"",J20*J22)</f>
        <v/>
      </c>
      <c r="K23" s="152" t="str">
        <f>IF(ModelYear&gt;EXP_CAP,"",K20*K22)</f>
        <v/>
      </c>
      <c r="L23" s="152" t="str">
        <f>IF(ModelYear&gt;EXP_CAP,"",L20*L22)</f>
        <v/>
      </c>
      <c r="M23" s="152">
        <f>M20*M22</f>
        <v>632.6252646</v>
      </c>
    </row>
    <row r="24">
      <c r="A24" s="153" t="s">
        <v>262</v>
      </c>
      <c r="B24" s="154">
        <f>B20-B23</f>
        <v>1248.75</v>
      </c>
      <c r="C24" s="154">
        <f>IF(ModelYear&gt;EXP_CAP,"",Model_NOPAT-C23)</f>
        <v>1405.443786</v>
      </c>
      <c r="D24" s="154">
        <f>IF(ModelYear&gt;EXP_CAP,"",Model_NOPAT-D23)</f>
        <v>1502.11421</v>
      </c>
      <c r="E24" s="154">
        <f>IF(ModelYear&gt;EXP_CAP,"",Model_NOPAT-E23)</f>
        <v>1641.182835</v>
      </c>
      <c r="F24" s="154">
        <f>IF(ModelYear&gt;EXP_CAP,"",Model_NOPAT-F23)</f>
        <v>1806.433303</v>
      </c>
      <c r="G24" s="154">
        <f>IF(ModelYear&gt;EXP_CAP,"",Model_NOPAT-G23)</f>
        <v>1839.053161</v>
      </c>
      <c r="H24" s="155" t="str">
        <f>IF(ModelYear&gt;EXP_CAP,"",Model_NOPAT-H23)</f>
        <v/>
      </c>
      <c r="I24" s="155" t="str">
        <f>IF(ModelYear&gt;EXP_CAP,"",Model_NOPAT-I23)</f>
        <v/>
      </c>
      <c r="J24" s="155" t="str">
        <f>IF(ModelYear&gt;EXP_CAP,"",Model_NOPAT-J23)</f>
        <v/>
      </c>
      <c r="K24" s="155" t="str">
        <f>IF(ModelYear&gt;EXP_CAP,"",Model_NOPAT-K23)</f>
        <v/>
      </c>
      <c r="L24" s="155" t="str">
        <f>IF(ModelYear&gt;EXP_CAP,"",Model_NOPAT-L23)</f>
        <v/>
      </c>
      <c r="M24" s="154">
        <f>M20-M23</f>
        <v>1423.406845</v>
      </c>
    </row>
    <row r="25">
      <c r="A25" s="138" t="s">
        <v>263</v>
      </c>
      <c r="B25" s="69"/>
      <c r="C25" s="140">
        <f>discount_rate(EXP_Wacc,Terminal_Wacc,C10,EXP_CAP,$K6)</f>
        <v>0.075</v>
      </c>
      <c r="D25" s="140">
        <f>discount_rate(EXP_Wacc,Terminal_Wacc,D10,EXP_CAP,$K6)</f>
        <v>0.075</v>
      </c>
      <c r="E25" s="140">
        <f>discount_rate(EXP_Wacc,Terminal_Wacc,E10,EXP_CAP,$K6)</f>
        <v>0.075</v>
      </c>
      <c r="F25" s="140">
        <f>discount_rate(EXP_Wacc,Terminal_Wacc,F10,EXP_CAP,$K6)</f>
        <v>0.08625</v>
      </c>
      <c r="G25" s="140">
        <f>discount_rate(EXP_Wacc,Terminal_Wacc,G10,EXP_CAP,$K6)</f>
        <v>0.0975</v>
      </c>
      <c r="H25" s="140" t="str">
        <f>discount_rate(EXP_Wacc,Terminal_Wacc,H10,EXP_CAP,$K6)</f>
        <v/>
      </c>
      <c r="I25" s="140" t="str">
        <f>discount_rate(EXP_Wacc,Terminal_Wacc,I10,EXP_CAP,$K6)</f>
        <v/>
      </c>
      <c r="J25" s="140" t="str">
        <f>discount_rate(EXP_Wacc,Terminal_Wacc,J10,EXP_CAP,$K6)</f>
        <v/>
      </c>
      <c r="K25" s="140" t="str">
        <f>discount_rate(EXP_Wacc,Terminal_Wacc,K10,EXP_CAP,$K6)</f>
        <v/>
      </c>
      <c r="L25" s="140" t="str">
        <f>discount_rate(EXP_Wacc,Terminal_Wacc,L10,EXP_CAP,$K6)</f>
        <v/>
      </c>
      <c r="M25" s="140">
        <f>Terminal_Wacc</f>
        <v>0.0975</v>
      </c>
    </row>
    <row r="26">
      <c r="A26" s="156" t="s">
        <v>264</v>
      </c>
      <c r="B26" s="157"/>
      <c r="C26" s="158">
        <f>IF(ModelYear&gt;EXP_CAP,"",1+C25)</f>
        <v>1.075</v>
      </c>
      <c r="D26" s="158">
        <f>IF(ModelYear&gt;EXP_CAP,"",(1+C25)*(1+D25))</f>
        <v>1.155625</v>
      </c>
      <c r="E26" s="158">
        <f>IF(ModelYear&gt;EXP_CAP,"",(1+C25)*(1+D25)*(1+E25))</f>
        <v>1.242296875</v>
      </c>
      <c r="F26" s="158">
        <f>IF(ModelYear&gt;EXP_CAP,"",(1+C25)*(1+D25)*(1+E25)*(1+F25))</f>
        <v>1.34944498</v>
      </c>
      <c r="G26" s="158">
        <f>IF(ModelYear&gt;EXP_CAP,"",(1+C25)*(1+D25)*(1+E25)*(1+F25)*(1+G25))</f>
        <v>1.481015866</v>
      </c>
      <c r="H26" s="158" t="str">
        <f>IF(ModelYear&gt;EXP_CAP,"",(1+C25)*(1+D25)*(1+E25)*(1+F25)*(1+G25)*(1+H25))</f>
        <v/>
      </c>
      <c r="I26" s="158" t="str">
        <f>IF(ModelYear&gt;EXP_CAP,"",(1+C25)*(1+D25)*(1+E25)*(1+F25)*(1+G25)*(1+H25)*(1+I25))</f>
        <v/>
      </c>
      <c r="J26" s="158" t="str">
        <f>IF(ModelYear&gt;EXP_CAP,"",(1+C25)*(1+D25)*(1+E25)*(1+F25)*(1+G25)*(1+H25)*(1+I25)*(1+J25))</f>
        <v/>
      </c>
      <c r="K26" s="158" t="str">
        <f>IF(ModelYear&gt;EXP_CAP,"",(1+C25)*(1+D25)*(1+E25)*(1+F25)*(1+G25)*(1+H25)*(1+I25)*(1+J25)*(1+K25))</f>
        <v/>
      </c>
      <c r="L26" s="158" t="str">
        <f>IF(ModelYear&gt;EXP_CAP,"",(1+C25)*(1+D25)*(1+E25)*(1+F25)*(1+G25)*(1+H25)*(1+I25)*(1+J25)*(1+K25)*(1+L25))</f>
        <v/>
      </c>
      <c r="M26" s="159"/>
    </row>
    <row r="27">
      <c r="A27" s="151" t="s">
        <v>265</v>
      </c>
      <c r="B27" s="160"/>
      <c r="C27" s="152">
        <f>IF(ModelYear&gt;EXP_CAP,"",Model_FCFF/C26)</f>
        <v>1307.389568</v>
      </c>
      <c r="D27" s="152">
        <f>IF(ModelYear&gt;EXP_CAP,"",Model_FCFF/D26)</f>
        <v>1299.828413</v>
      </c>
      <c r="E27" s="152">
        <f>IF(ModelYear&gt;EXP_CAP,"",Model_FCFF/E26)</f>
        <v>1321.087469</v>
      </c>
      <c r="F27" s="152">
        <f>IF(ModelYear&gt;EXP_CAP,"",Model_FCFF/F26)</f>
        <v>1338.649096</v>
      </c>
      <c r="G27" s="152">
        <f>IF(ModelYear&gt;EXP_CAP,"",Model_FCFF/G26)</f>
        <v>1241.751154</v>
      </c>
      <c r="H27" s="152" t="str">
        <f>IF(ModelYear&gt;EXP_CAP,"",Model_FCFF/H26)</f>
        <v/>
      </c>
      <c r="I27" s="152" t="str">
        <f>IF(ModelYear&gt;EXP_CAP,"",Model_FCFF/I26)</f>
        <v/>
      </c>
      <c r="J27" s="152" t="str">
        <f>IF(ModelYear&gt;EXP_CAP,"",Model_FCFF/J26)</f>
        <v/>
      </c>
      <c r="K27" s="152" t="str">
        <f>IF(ModelYear&gt;EXP_CAP,"",Model_FCFF/K26)</f>
        <v/>
      </c>
      <c r="L27" s="152" t="str">
        <f>IF(ModelYear&gt;EXP_CAP,"",Model_FCFF/L26)</f>
        <v/>
      </c>
      <c r="M27" s="159"/>
    </row>
    <row r="29">
      <c r="A29" s="46" t="s">
        <v>266</v>
      </c>
      <c r="C29" s="11" t="s">
        <v>267</v>
      </c>
      <c r="D29" s="11" t="s">
        <v>268</v>
      </c>
    </row>
    <row r="30">
      <c r="A30" s="11" t="s">
        <v>269</v>
      </c>
      <c r="C30" s="140">
        <f>D30/D32</f>
        <v>0.2779093274</v>
      </c>
      <c r="D30" s="147">
        <f>SUM(C27:L27)</f>
        <v>6508.705701</v>
      </c>
    </row>
    <row r="31">
      <c r="A31" s="11" t="s">
        <v>270</v>
      </c>
      <c r="C31" s="140">
        <f>1-C30</f>
        <v>0.7220906726</v>
      </c>
      <c r="D31" s="152">
        <f>M24/(Terminal_Wacc-Terminal_EbitGrowth)/IF(EXP_CAP=0,1,INDIRECT(ADDRESS(ROW(A26),EXP_CAP+2)))</f>
        <v>14238.54349</v>
      </c>
      <c r="E31" s="161"/>
    </row>
    <row r="32">
      <c r="A32" s="11" t="s">
        <v>271</v>
      </c>
      <c r="D32" s="152">
        <f>D30+D31+MV_NonOpAssets+IF(Data!S6="",Data!S7,Data!S6)</f>
        <v>23420.24919</v>
      </c>
      <c r="E32" s="161"/>
    </row>
    <row r="34">
      <c r="A34" s="11" t="s">
        <v>272</v>
      </c>
      <c r="D34" s="147">
        <f>Data!D42</f>
        <v>1602</v>
      </c>
    </row>
    <row r="35">
      <c r="A35" s="11" t="s">
        <v>273</v>
      </c>
      <c r="D35" s="162">
        <f>D32-D34</f>
        <v>21818.24919</v>
      </c>
      <c r="E35" s="7"/>
    </row>
    <row r="36">
      <c r="A36" s="11" t="s">
        <v>274</v>
      </c>
      <c r="D36" s="147">
        <f>Data!E52</f>
        <v>0</v>
      </c>
    </row>
    <row r="37">
      <c r="A37" s="11" t="s">
        <v>275</v>
      </c>
      <c r="D37" s="147">
        <f>Data!D43</f>
        <v>0</v>
      </c>
    </row>
    <row r="38">
      <c r="A38" s="11" t="s">
        <v>276</v>
      </c>
      <c r="D38" s="162">
        <f>D35-D36-D37</f>
        <v>21818.24919</v>
      </c>
      <c r="E38" s="7"/>
      <c r="F38" s="163" t="str">
        <f>Asm!C11</f>
        <v>HKD</v>
      </c>
    </row>
    <row r="39">
      <c r="A39" s="11" t="s">
        <v>277</v>
      </c>
      <c r="E39" s="164">
        <f>price_pershare(D38,Data!F2,Cs_Shares,Asm!C12)</f>
        <v>86.72760744</v>
      </c>
      <c r="F39" s="165" t="str">
        <f>Asm!D6</f>
        <v>HKD</v>
      </c>
    </row>
    <row r="41">
      <c r="A41" s="46" t="s">
        <v>278</v>
      </c>
      <c r="B41" s="11" t="s">
        <v>279</v>
      </c>
      <c r="D41" s="133" t="str">
        <f>F39</f>
        <v>HKD</v>
      </c>
      <c r="E41" s="133" t="str">
        <f>Asm!C6</f>
        <v>$52.1</v>
      </c>
      <c r="F41" s="11" t="s">
        <v>280</v>
      </c>
      <c r="G41" s="166">
        <f>E41/E39-1</f>
        <v>-0.3992685658</v>
      </c>
      <c r="H41" s="11" t="str">
        <f>IF(G41&lt;0,"undervalued","overvalued") &amp; " by the market."</f>
        <v>undervalued by the market.</v>
      </c>
    </row>
  </sheetData>
  <mergeCells count="9">
    <mergeCell ref="D37:E37"/>
    <mergeCell ref="D38:E38"/>
    <mergeCell ref="A1:C1"/>
    <mergeCell ref="D30:E30"/>
    <mergeCell ref="D31:E31"/>
    <mergeCell ref="D32:E32"/>
    <mergeCell ref="D34:E34"/>
    <mergeCell ref="D35:E35"/>
    <mergeCell ref="D36:E36"/>
  </mergeCells>
  <dataValidations>
    <dataValidation type="list" allowBlank="1" sqref="B3">
      <formula1>"Base Case,Bear Case,Bull Case"</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showGridLines="0" workbookViewId="0"/>
  </sheetViews>
  <sheetFormatPr customHeight="1" defaultColWidth="12.63" defaultRowHeight="15.75"/>
  <cols>
    <col customWidth="1" min="1" max="1" width="26.88"/>
  </cols>
  <sheetData>
    <row r="1">
      <c r="A1" s="130" t="s">
        <v>238</v>
      </c>
    </row>
    <row r="3">
      <c r="A3" s="46" t="s">
        <v>239</v>
      </c>
      <c r="B3" s="131" t="s">
        <v>85</v>
      </c>
    </row>
    <row r="4">
      <c r="A4" s="132" t="s">
        <v>240</v>
      </c>
      <c r="E4" s="132" t="s">
        <v>241</v>
      </c>
      <c r="I4" s="132" t="s">
        <v>242</v>
      </c>
    </row>
    <row r="5">
      <c r="A5" s="11" t="s">
        <v>70</v>
      </c>
      <c r="C5" s="125">
        <f>IF(B3="Base Case",Asm!E39,IF(B3="Bear Case",Asm!D39,Asm!F39))</f>
        <v>0.04306939822</v>
      </c>
      <c r="E5" s="11" t="s">
        <v>70</v>
      </c>
      <c r="G5" s="125">
        <f>Asm!G39</f>
        <v>0.03</v>
      </c>
      <c r="I5" s="11" t="s">
        <v>69</v>
      </c>
      <c r="K5" s="133">
        <f>IF(B3="Base Case",Asm!E37,IF(B3="Bear Case",Asm!D37,Asm!F37))</f>
        <v>6</v>
      </c>
    </row>
    <row r="6">
      <c r="A6" s="11" t="s">
        <v>243</v>
      </c>
      <c r="C6" s="125">
        <f>IF(B3="Base Case",Asm!E40,IF(B3="Bear Case",Asm!D40,Asm!F40))</f>
        <v>0.1129837309</v>
      </c>
      <c r="E6" s="11" t="s">
        <v>244</v>
      </c>
      <c r="G6" s="125">
        <f>Asm!G40</f>
        <v>0.3076923077</v>
      </c>
      <c r="I6" s="11" t="s">
        <v>245</v>
      </c>
      <c r="K6" s="134">
        <f>_xlfn.CEILING.MATH((K5/2))</f>
        <v>3</v>
      </c>
    </row>
    <row r="7">
      <c r="A7" s="11" t="s">
        <v>246</v>
      </c>
      <c r="C7" s="135">
        <f>Asm!C26</f>
        <v>0.075</v>
      </c>
      <c r="E7" s="11" t="s">
        <v>246</v>
      </c>
      <c r="G7" s="135">
        <f>Asm!C27</f>
        <v>0.0975</v>
      </c>
    </row>
    <row r="9">
      <c r="A9" s="46" t="s">
        <v>247</v>
      </c>
      <c r="B9" s="11" t="s">
        <v>248</v>
      </c>
    </row>
    <row r="10">
      <c r="A10" s="136" t="str">
        <f>"(Numbers in "&amp;Data!F2&amp;Asm!C11&amp;")"</f>
        <v>(Numbers in 1000000HKD)</v>
      </c>
      <c r="B10" s="137" t="str">
        <f>"Actual "&amp;IF(L10="",Data!B7,"LTM")</f>
        <v>Actual LTM</v>
      </c>
      <c r="C10" s="137">
        <v>1.0</v>
      </c>
      <c r="D10" s="137">
        <v>2.0</v>
      </c>
      <c r="E10" s="137">
        <v>3.0</v>
      </c>
      <c r="F10" s="137">
        <v>4.0</v>
      </c>
      <c r="G10" s="137">
        <v>5.0</v>
      </c>
      <c r="H10" s="137">
        <v>6.0</v>
      </c>
      <c r="I10" s="137">
        <v>7.0</v>
      </c>
      <c r="J10" s="137">
        <v>8.0</v>
      </c>
      <c r="K10" s="137">
        <v>9.0</v>
      </c>
      <c r="L10" s="137">
        <v>10.0</v>
      </c>
      <c r="M10" s="137" t="s">
        <v>249</v>
      </c>
    </row>
    <row r="11">
      <c r="A11" s="138" t="s">
        <v>250</v>
      </c>
      <c r="B11" s="139">
        <f>IF(Data!U6="",Data!U8,Data!U7)</f>
        <v>4063</v>
      </c>
      <c r="C11" s="139">
        <f>IF('Bull Model'!ModelYear&gt;'Bull Model'!EXP_CAP,"",B11+B23)</f>
        <v>4363</v>
      </c>
      <c r="D11" s="139">
        <f>IF('Bull Model'!ModelYear&gt;'Bull Model'!EXP_CAP,"",C11+C23)</f>
        <v>4620.731812</v>
      </c>
      <c r="E11" s="139">
        <f>IF('Bull Model'!ModelYear&gt;'Bull Model'!EXP_CAP,"",D11+D23)</f>
        <v>4880.040568</v>
      </c>
      <c r="F11" s="139">
        <f>IF('Bull Model'!ModelYear&gt;'Bull Model'!EXP_CAP,"",E11+E23)</f>
        <v>5099.129198</v>
      </c>
      <c r="G11" s="139">
        <f>IF('Bull Model'!ModelYear&gt;'Bull Model'!EXP_CAP,"",F11+F23)</f>
        <v>5236.483945</v>
      </c>
      <c r="H11" s="139">
        <f>IF('Bull Model'!ModelYear&gt;'Bull Model'!EXP_CAP,"",G11+G23)</f>
        <v>5349.327671</v>
      </c>
      <c r="I11" s="139" t="str">
        <f>IF('Bull Model'!ModelYear&gt;'Bull Model'!EXP_CAP,"",H11+H23)</f>
        <v/>
      </c>
      <c r="J11" s="139" t="str">
        <f>IF('Bull Model'!ModelYear&gt;'Bull Model'!EXP_CAP,"",I11+I23)</f>
        <v/>
      </c>
      <c r="K11" s="139" t="str">
        <f>IF('Bull Model'!ModelYear&gt;'Bull Model'!EXP_CAP,"",J11+J23)</f>
        <v/>
      </c>
      <c r="L11" s="139" t="str">
        <f>IF('Bull Model'!ModelYear&gt;'Bull Model'!EXP_CAP,"",K11+K23)</f>
        <v/>
      </c>
      <c r="M11" s="70"/>
    </row>
    <row r="12">
      <c r="A12" s="138" t="s">
        <v>251</v>
      </c>
      <c r="B12" s="69"/>
      <c r="C12" s="140">
        <f>IF('Bull Model'!ModelYear&gt;'Bull Model'!EXP_CAP,"",C13/B13-1)</f>
        <v>0.1483085104</v>
      </c>
      <c r="D12" s="140">
        <f>IF('Bull Model'!ModelYear&gt;'Bull Model'!EXP_CAP,"",D13/C13-1)</f>
        <v>0.02020712336</v>
      </c>
      <c r="E12" s="140">
        <f>IF('Bull Model'!ModelYear&gt;'Bull Model'!EXP_CAP,"",E13/D13-1)</f>
        <v>0.05611854722</v>
      </c>
      <c r="F12" s="140">
        <f>IF('Bull Model'!ModelYear&gt;'Bull Model'!EXP_CAP,"",F13/E13-1)</f>
        <v>0.04489483777</v>
      </c>
      <c r="G12" s="140">
        <f>IF('Bull Model'!ModelYear&gt;'Bull Model'!EXP_CAP,"",G13/F13-1)</f>
        <v>0.02693690266</v>
      </c>
      <c r="H12" s="140">
        <f>IF('Bull Model'!ModelYear&gt;'Bull Model'!EXP_CAP,"",H13/G13-1)</f>
        <v>0.02154952213</v>
      </c>
      <c r="I12" s="140" t="str">
        <f>IF('Bull Model'!ModelYear&gt;'Bull Model'!EXP_CAP,"",I13/H13-1)</f>
        <v/>
      </c>
      <c r="J12" s="140" t="str">
        <f>IF('Bull Model'!ModelYear&gt;'Bull Model'!EXP_CAP,"",J13/I13-1)</f>
        <v/>
      </c>
      <c r="K12" s="140" t="str">
        <f>IF('Bull Model'!ModelYear&gt;'Bull Model'!EXP_CAP,"",K13/J13-1)</f>
        <v/>
      </c>
      <c r="L12" s="140" t="str">
        <f>IF('Bull Model'!ModelYear&gt;'Bull Model'!EXP_CAP,"",L13/K13-1)</f>
        <v/>
      </c>
      <c r="M12" s="140">
        <f>M13/INDIRECT(ADDRESS(ROW(A13),'Bull Model'!EXP_CAP+2))-1</f>
        <v>0.03379373849</v>
      </c>
    </row>
    <row r="13">
      <c r="A13" s="11" t="s">
        <v>252</v>
      </c>
      <c r="B13" s="141">
        <f>IF(Data!C6="",Data!C7,Data!C6)</f>
        <v>18392</v>
      </c>
      <c r="C13" s="141">
        <f>IF('Bull Model'!ModelYear&gt;'Bull Model'!EXP_CAP,"",C18/C14)</f>
        <v>21119.69012</v>
      </c>
      <c r="D13" s="141">
        <f>IF('Bull Model'!ModelYear&gt;'Bull Model'!EXP_CAP,"",D18/D14)</f>
        <v>21546.45831</v>
      </c>
      <c r="E13" s="141">
        <f>IF('Bull Model'!ModelYear&gt;'Bull Model'!EXP_CAP,"",E18/E14)</f>
        <v>22755.61425</v>
      </c>
      <c r="F13" s="141">
        <f>IF('Bull Model'!ModelYear&gt;'Bull Model'!EXP_CAP,"",F18/F14)</f>
        <v>23777.22385</v>
      </c>
      <c r="G13" s="141">
        <f>IF('Bull Model'!ModelYear&gt;'Bull Model'!EXP_CAP,"",G18/G14)</f>
        <v>24417.70862</v>
      </c>
      <c r="H13" s="141">
        <f>IF('Bull Model'!ModelYear&gt;'Bull Model'!EXP_CAP,"",H18/H14)</f>
        <v>24943.89857</v>
      </c>
      <c r="I13" s="141" t="str">
        <f>IF('Bull Model'!ModelYear&gt;'Bull Model'!EXP_CAP,"",I18/I14)</f>
        <v/>
      </c>
      <c r="J13" s="141" t="str">
        <f>IF('Bull Model'!ModelYear&gt;'Bull Model'!EXP_CAP,"",J18/J14)</f>
        <v/>
      </c>
      <c r="K13" s="141" t="str">
        <f>IF('Bull Model'!ModelYear&gt;'Bull Model'!EXP_CAP,"",K18/K14)</f>
        <v/>
      </c>
      <c r="L13" s="141" t="str">
        <f>IF('Bull Model'!ModelYear&gt;'Bull Model'!EXP_CAP,"",L18/L14)</f>
        <v/>
      </c>
      <c r="M13" s="141">
        <f>M18/M14</f>
        <v>25786.84616</v>
      </c>
    </row>
    <row r="14">
      <c r="A14" s="138" t="s">
        <v>253</v>
      </c>
      <c r="B14" s="140">
        <f>B18/B13</f>
        <v>0.112277077</v>
      </c>
      <c r="C14" s="142">
        <v>0.105</v>
      </c>
      <c r="D14" s="142">
        <v>0.109</v>
      </c>
      <c r="E14" s="142">
        <v>0.109</v>
      </c>
      <c r="F14" s="142">
        <v>0.109</v>
      </c>
      <c r="G14" s="142">
        <v>0.109</v>
      </c>
      <c r="H14" s="142">
        <v>0.109</v>
      </c>
      <c r="I14" s="142"/>
      <c r="J14" s="142"/>
      <c r="K14" s="142"/>
      <c r="L14" s="142"/>
      <c r="M14" s="142">
        <v>0.1086</v>
      </c>
    </row>
    <row r="15">
      <c r="A15" s="138" t="s">
        <v>254</v>
      </c>
      <c r="B15" s="116"/>
      <c r="C15" s="143">
        <v>0.3812</v>
      </c>
      <c r="D15" s="143">
        <v>0.3812</v>
      </c>
      <c r="E15" s="143">
        <v>0.3812</v>
      </c>
      <c r="F15" s="143">
        <v>0.3812</v>
      </c>
      <c r="G15" s="143">
        <v>0.3812</v>
      </c>
      <c r="H15" s="143">
        <v>0.3812</v>
      </c>
      <c r="I15" s="143"/>
      <c r="J15" s="143"/>
      <c r="K15" s="143"/>
      <c r="L15" s="143"/>
      <c r="M15" s="116"/>
    </row>
    <row r="16">
      <c r="A16" s="138" t="s">
        <v>255</v>
      </c>
      <c r="B16" s="69"/>
      <c r="C16" s="143">
        <v>0.3812</v>
      </c>
      <c r="D16" s="143">
        <v>0.3812</v>
      </c>
      <c r="E16" s="143">
        <v>0.3812</v>
      </c>
      <c r="F16" s="143">
        <v>0.3812</v>
      </c>
      <c r="G16" s="143">
        <v>0.3812</v>
      </c>
      <c r="H16" s="143">
        <v>0.3812</v>
      </c>
      <c r="I16" s="143"/>
      <c r="J16" s="143"/>
      <c r="K16" s="143"/>
      <c r="L16" s="143"/>
      <c r="M16" s="116"/>
    </row>
    <row r="17">
      <c r="A17" s="144" t="s">
        <v>256</v>
      </c>
      <c r="B17" s="145"/>
      <c r="C17" s="146">
        <f>IF('Bull Model'!ModelYear&gt;'Bull Model'!EXP_CAP,"",C15*B22+(C16-B21)/C16)</f>
        <v>0.07388254865</v>
      </c>
      <c r="D17" s="146">
        <f>IF('Bull Model'!ModelYear&gt;'Bull Model'!EXP_CAP,"",D15*C22+(D16-C21)/D16)</f>
        <v>0.05907215663</v>
      </c>
      <c r="E17" s="146">
        <f>IF('Bull Model'!ModelYear&gt;'Bull Model'!EXP_CAP,"",E15*D22+(E16-D21)/E16)</f>
        <v>0.05611854722</v>
      </c>
      <c r="F17" s="146">
        <f>IF('Bull Model'!ModelYear&gt;'Bull Model'!EXP_CAP,"",F15*E22+(F16-E21)/F16)</f>
        <v>0.04489483777</v>
      </c>
      <c r="G17" s="146">
        <f>IF('Bull Model'!ModelYear&gt;'Bull Model'!EXP_CAP,"",G15*F22+(G16-F21)/G16)</f>
        <v>0.02693690266</v>
      </c>
      <c r="H17" s="146">
        <f>IF('Bull Model'!ModelYear&gt;'Bull Model'!EXP_CAP,"",H15*G22+(H16-G21)/H16)</f>
        <v>0.02154952213</v>
      </c>
      <c r="I17" s="146" t="str">
        <f>IF('Bull Model'!ModelYear&gt;'Bull Model'!EXP_CAP,"",I15*H22+(I16-H21)/I16)</f>
        <v/>
      </c>
      <c r="J17" s="146" t="str">
        <f>IF('Bull Model'!ModelYear&gt;'Bull Model'!EXP_CAP,"",J15*I22+(J16-I21)/J16)</f>
        <v/>
      </c>
      <c r="K17" s="146" t="str">
        <f>IF('Bull Model'!ModelYear&gt;'Bull Model'!EXP_CAP,"",K15*J22+(K16-J21)/K16)</f>
        <v/>
      </c>
      <c r="L17" s="146" t="str">
        <f>IF('Bull Model'!ModelYear&gt;'Bull Model'!EXP_CAP,"",L15*K22+(L16-K21)/L16)</f>
        <v/>
      </c>
      <c r="M17" s="146">
        <f>'Bull Model'!Terminal_EbitGrowth</f>
        <v>0.03</v>
      </c>
    </row>
    <row r="18">
      <c r="A18" s="11" t="s">
        <v>257</v>
      </c>
      <c r="B18" s="147">
        <f>Data!E20</f>
        <v>2065</v>
      </c>
      <c r="C18" s="147">
        <f>IF('Bull Model'!ModelYear&gt;'Bull Model'!EXP_CAP,"",B18*(1+'Bull Model'!Model_EbitGrowth))</f>
        <v>2217.567463</v>
      </c>
      <c r="D18" s="147">
        <f>IF('Bull Model'!ModelYear&gt;'Bull Model'!EXP_CAP,"",C18*(1+'Bull Model'!Model_EbitGrowth))</f>
        <v>2348.563955</v>
      </c>
      <c r="E18" s="147">
        <f>IF('Bull Model'!ModelYear&gt;'Bull Model'!EXP_CAP,"",D18*(1+'Bull Model'!Model_EbitGrowth))</f>
        <v>2480.361953</v>
      </c>
      <c r="F18" s="147">
        <f>IF('Bull Model'!ModelYear&gt;'Bull Model'!EXP_CAP,"",E18*(1+'Bull Model'!Model_EbitGrowth))</f>
        <v>2591.7174</v>
      </c>
      <c r="G18" s="147">
        <f>IF('Bull Model'!ModelYear&gt;'Bull Model'!EXP_CAP,"",F18*(1+'Bull Model'!Model_EbitGrowth))</f>
        <v>2661.53024</v>
      </c>
      <c r="H18" s="147">
        <f>IF('Bull Model'!ModelYear&gt;'Bull Model'!EXP_CAP,"",G18*(1+'Bull Model'!Model_EbitGrowth))</f>
        <v>2718.884944</v>
      </c>
      <c r="I18" s="147" t="str">
        <f>IF('Bull Model'!ModelYear&gt;'Bull Model'!EXP_CAP,"",H18*(1+'Bull Model'!Model_EbitGrowth))</f>
        <v/>
      </c>
      <c r="J18" s="147" t="str">
        <f>IF('Bull Model'!ModelYear&gt;'Bull Model'!EXP_CAP,"",I18*(1+'Bull Model'!Model_EbitGrowth))</f>
        <v/>
      </c>
      <c r="K18" s="147" t="str">
        <f>IF('Bull Model'!ModelYear&gt;'Bull Model'!EXP_CAP,"",J18*(1+'Bull Model'!Model_EbitGrowth))</f>
        <v/>
      </c>
      <c r="L18" s="147" t="str">
        <f>IF('Bull Model'!ModelYear&gt;'Bull Model'!EXP_CAP,"",K18*(1+'Bull Model'!Model_EbitGrowth))</f>
        <v/>
      </c>
      <c r="M18" s="147">
        <f>INDIRECT(ADDRESS(ROW(A18),'Bull Model'!EXP_CAP+2))*(1+'Bull Model'!Terminal_EbitGrowth)</f>
        <v>2800.451493</v>
      </c>
    </row>
    <row r="19">
      <c r="A19" s="138" t="s">
        <v>258</v>
      </c>
      <c r="B19" s="140">
        <v>0.25</v>
      </c>
      <c r="C19" s="142">
        <f>Data!E35</f>
        <v>0.25</v>
      </c>
      <c r="D19" s="142">
        <v>0.25</v>
      </c>
      <c r="E19" s="142">
        <v>0.25</v>
      </c>
      <c r="F19" s="142">
        <v>0.25</v>
      </c>
      <c r="G19" s="142">
        <v>0.25</v>
      </c>
      <c r="H19" s="142">
        <v>0.25</v>
      </c>
      <c r="I19" s="142"/>
      <c r="J19" s="142"/>
      <c r="K19" s="142"/>
      <c r="L19" s="142"/>
      <c r="M19" s="140">
        <f>Data!D38</f>
        <v>0.25</v>
      </c>
    </row>
    <row r="20">
      <c r="A20" s="148" t="s">
        <v>180</v>
      </c>
      <c r="B20" s="149">
        <f>B18*(1-B19)</f>
        <v>1548.75</v>
      </c>
      <c r="C20" s="149">
        <f>IF('Bull Model'!ModelYear&gt;'Bull Model'!EXP_CAP,"",C18*(1-C19))</f>
        <v>1663.175597</v>
      </c>
      <c r="D20" s="149">
        <f>IF('Bull Model'!ModelYear&gt;'Bull Model'!EXP_CAP,"",D18*(1-D19))</f>
        <v>1761.422967</v>
      </c>
      <c r="E20" s="149">
        <f>IF('Bull Model'!ModelYear&gt;'Bull Model'!EXP_CAP,"",E18*(1-E19))</f>
        <v>1860.271465</v>
      </c>
      <c r="F20" s="149">
        <f>IF('Bull Model'!ModelYear&gt;'Bull Model'!EXP_CAP,"",F18*(1-F19))</f>
        <v>1943.78805</v>
      </c>
      <c r="G20" s="149">
        <f>IF('Bull Model'!ModelYear&gt;'Bull Model'!EXP_CAP,"",G18*(1-G19))</f>
        <v>1996.14768</v>
      </c>
      <c r="H20" s="149">
        <f>IF('Bull Model'!ModelYear&gt;'Bull Model'!EXP_CAP,"",H18*(1-H19))</f>
        <v>2039.163708</v>
      </c>
      <c r="I20" s="149" t="str">
        <f>IF('Bull Model'!ModelYear&gt;'Bull Model'!EXP_CAP,"",I18*(1-I19))</f>
        <v/>
      </c>
      <c r="J20" s="149" t="str">
        <f>IF('Bull Model'!ModelYear&gt;'Bull Model'!EXP_CAP,"",J18*(1-J19))</f>
        <v/>
      </c>
      <c r="K20" s="149" t="str">
        <f>IF('Bull Model'!ModelYear&gt;'Bull Model'!EXP_CAP,"",K18*(1-K19))</f>
        <v/>
      </c>
      <c r="L20" s="149" t="str">
        <f>IF('Bull Model'!ModelYear&gt;'Bull Model'!EXP_CAP,"",L18*(1-L19))</f>
        <v/>
      </c>
      <c r="M20" s="149">
        <f>M18*(1-M19)</f>
        <v>2100.338619</v>
      </c>
    </row>
    <row r="21">
      <c r="A21" s="138" t="s">
        <v>259</v>
      </c>
      <c r="B21" s="140">
        <f>B20/B11</f>
        <v>0.3811838543</v>
      </c>
      <c r="C21" s="140">
        <f>IF('Bull Model'!ModelYear&gt;'Bull Model'!EXP_CAP,"",C20/C11)</f>
        <v>0.3811999994</v>
      </c>
      <c r="D21" s="140">
        <f>IF('Bull Model'!ModelYear&gt;'Bull Model'!EXP_CAP,"",D20/D11)</f>
        <v>0.3812</v>
      </c>
      <c r="E21" s="140">
        <f>IF('Bull Model'!ModelYear&gt;'Bull Model'!EXP_CAP,"",E20/E11)</f>
        <v>0.3812</v>
      </c>
      <c r="F21" s="140">
        <f>IF('Bull Model'!ModelYear&gt;'Bull Model'!EXP_CAP,"",F20/F11)</f>
        <v>0.3812</v>
      </c>
      <c r="G21" s="140">
        <f>IF('Bull Model'!ModelYear&gt;'Bull Model'!EXP_CAP,"",G20/G11)</f>
        <v>0.3812</v>
      </c>
      <c r="H21" s="140">
        <f>IF('Bull Model'!ModelYear&gt;'Bull Model'!EXP_CAP,"",H20/H11)</f>
        <v>0.3812</v>
      </c>
      <c r="I21" s="140" t="str">
        <f>IF('Bull Model'!ModelYear&gt;'Bull Model'!EXP_CAP,"",I20/I11)</f>
        <v/>
      </c>
      <c r="J21" s="140" t="str">
        <f>IF('Bull Model'!ModelYear&gt;'Bull Model'!EXP_CAP,"",J20/J11)</f>
        <v/>
      </c>
      <c r="K21" s="140" t="str">
        <f>IF('Bull Model'!ModelYear&gt;'Bull Model'!EXP_CAP,"",K20/K11)</f>
        <v/>
      </c>
      <c r="L21" s="140" t="str">
        <f>IF('Bull Model'!ModelYear&gt;'Bull Model'!EXP_CAP,"",L20/L11)</f>
        <v/>
      </c>
      <c r="M21" s="140">
        <f>Asm!G41</f>
        <v>0.0975</v>
      </c>
    </row>
    <row r="22">
      <c r="A22" s="138" t="s">
        <v>260</v>
      </c>
      <c r="B22" s="150">
        <f>B23/B20</f>
        <v>0.1937046005</v>
      </c>
      <c r="C22" s="143">
        <f>B22*0.8</f>
        <v>0.1549636804</v>
      </c>
      <c r="D22" s="143">
        <f>C22*0.95</f>
        <v>0.1472154964</v>
      </c>
      <c r="E22" s="143">
        <f>D22*0.8</f>
        <v>0.1177723971</v>
      </c>
      <c r="F22" s="143">
        <f>E22*0.6</f>
        <v>0.07066343826</v>
      </c>
      <c r="G22" s="143">
        <f>F22*0.8</f>
        <v>0.05653075061</v>
      </c>
      <c r="H22" s="143">
        <f>M17/H21</f>
        <v>0.07869884575</v>
      </c>
      <c r="I22" s="143" t="str">
        <f>reinvest_rate('Bull Model'!EXP_Reinvest,'Bull Model'!Terminal_Reinvest,I10,'Bull Model'!EXP_CAP,$K6)</f>
        <v/>
      </c>
      <c r="J22" s="143" t="str">
        <f>reinvest_rate('Bull Model'!EXP_Reinvest,'Bull Model'!Terminal_Reinvest,J10,'Bull Model'!EXP_CAP,$K6)</f>
        <v/>
      </c>
      <c r="K22" s="143" t="str">
        <f>reinvest_rate('Bull Model'!EXP_Reinvest,'Bull Model'!Terminal_Reinvest,K10,'Bull Model'!EXP_CAP,$K6)</f>
        <v/>
      </c>
      <c r="L22" s="143" t="str">
        <f>reinvest_rate('Bull Model'!EXP_Reinvest,'Bull Model'!Terminal_Reinvest,L10,'Bull Model'!EXP_CAP,$K6)</f>
        <v/>
      </c>
      <c r="M22" s="140">
        <f>'Bull Model'!Terminal_Reinvest</f>
        <v>0.3076923077</v>
      </c>
    </row>
    <row r="23">
      <c r="A23" s="151" t="s">
        <v>261</v>
      </c>
      <c r="B23" s="152">
        <f>IF(Data!C3="FY",Data!X7+Data!AA7,Data!X6+Data!AA6)</f>
        <v>300</v>
      </c>
      <c r="C23" s="152">
        <f>IF('Bull Model'!ModelYear&gt;'Bull Model'!EXP_CAP,"",C20*C22)</f>
        <v>257.7318117</v>
      </c>
      <c r="D23" s="152">
        <f>IF('Bull Model'!ModelYear&gt;'Bull Model'!EXP_CAP,"",D20*D22)</f>
        <v>259.3087563</v>
      </c>
      <c r="E23" s="152">
        <f>IF('Bull Model'!ModelYear&gt;'Bull Model'!EXP_CAP,"",E20*E22)</f>
        <v>219.0886296</v>
      </c>
      <c r="F23" s="152">
        <f>IF('Bull Model'!ModelYear&gt;'Bull Model'!EXP_CAP,"",F20*F22)</f>
        <v>137.3547469</v>
      </c>
      <c r="G23" s="152">
        <f>IF('Bull Model'!ModelYear&gt;'Bull Model'!EXP_CAP,"",G20*G22)</f>
        <v>112.8437266</v>
      </c>
      <c r="H23" s="152">
        <f>IF('Bull Model'!ModelYear&gt;'Bull Model'!EXP_CAP,"",H20*H22)</f>
        <v>160.4798301</v>
      </c>
      <c r="I23" s="152" t="str">
        <f>IF('Bull Model'!ModelYear&gt;'Bull Model'!EXP_CAP,"",I20*I22)</f>
        <v/>
      </c>
      <c r="J23" s="152" t="str">
        <f>IF('Bull Model'!ModelYear&gt;'Bull Model'!EXP_CAP,"",J20*J22)</f>
        <v/>
      </c>
      <c r="K23" s="152" t="str">
        <f>IF('Bull Model'!ModelYear&gt;'Bull Model'!EXP_CAP,"",K20*K22)</f>
        <v/>
      </c>
      <c r="L23" s="152" t="str">
        <f>IF('Bull Model'!ModelYear&gt;'Bull Model'!EXP_CAP,"",L20*L22)</f>
        <v/>
      </c>
      <c r="M23" s="152">
        <f>M20*M22</f>
        <v>646.2580368</v>
      </c>
    </row>
    <row r="24">
      <c r="A24" s="153" t="s">
        <v>262</v>
      </c>
      <c r="B24" s="154">
        <f>B20-B23</f>
        <v>1248.75</v>
      </c>
      <c r="C24" s="154">
        <f>IF('Bull Model'!ModelYear&gt;'Bull Model'!EXP_CAP,"",'Bull Model'!Model_NOPAT-C23)</f>
        <v>1405.443786</v>
      </c>
      <c r="D24" s="154">
        <f>IF('Bull Model'!ModelYear&gt;'Bull Model'!EXP_CAP,"",'Bull Model'!Model_NOPAT-D23)</f>
        <v>1502.11421</v>
      </c>
      <c r="E24" s="154">
        <f>IF('Bull Model'!ModelYear&gt;'Bull Model'!EXP_CAP,"",'Bull Model'!Model_NOPAT-E23)</f>
        <v>1641.182835</v>
      </c>
      <c r="F24" s="154">
        <f>IF('Bull Model'!ModelYear&gt;'Bull Model'!EXP_CAP,"",'Bull Model'!Model_NOPAT-F23)</f>
        <v>1806.433303</v>
      </c>
      <c r="G24" s="154">
        <f>IF('Bull Model'!ModelYear&gt;'Bull Model'!EXP_CAP,"",'Bull Model'!Model_NOPAT-G23)</f>
        <v>1883.303953</v>
      </c>
      <c r="H24" s="154">
        <f>IF('Bull Model'!ModelYear&gt;'Bull Model'!EXP_CAP,"",'Bull Model'!Model_NOPAT-H23)</f>
        <v>1878.683878</v>
      </c>
      <c r="I24" s="155" t="str">
        <f>IF('Bull Model'!ModelYear&gt;'Bull Model'!EXP_CAP,"",'Bull Model'!Model_NOPAT-I23)</f>
        <v/>
      </c>
      <c r="J24" s="155" t="str">
        <f>IF('Bull Model'!ModelYear&gt;'Bull Model'!EXP_CAP,"",'Bull Model'!Model_NOPAT-J23)</f>
        <v/>
      </c>
      <c r="K24" s="155" t="str">
        <f>IF('Bull Model'!ModelYear&gt;'Bull Model'!EXP_CAP,"",'Bull Model'!Model_NOPAT-K23)</f>
        <v/>
      </c>
      <c r="L24" s="155" t="str">
        <f>IF('Bull Model'!ModelYear&gt;'Bull Model'!EXP_CAP,"",'Bull Model'!Model_NOPAT-L23)</f>
        <v/>
      </c>
      <c r="M24" s="154">
        <f>M20-M23</f>
        <v>1454.080583</v>
      </c>
    </row>
    <row r="25">
      <c r="A25" s="138" t="s">
        <v>263</v>
      </c>
      <c r="B25" s="69"/>
      <c r="C25" s="140">
        <f>discount_rate('Bull Model'!EXP_Wacc,'Bull Model'!Terminal_Wacc,C10,'Bull Model'!EXP_CAP,$K6)</f>
        <v>0.075</v>
      </c>
      <c r="D25" s="140">
        <f>discount_rate('Bull Model'!EXP_Wacc,'Bull Model'!Terminal_Wacc,D10,'Bull Model'!EXP_CAP,$K6)</f>
        <v>0.075</v>
      </c>
      <c r="E25" s="140">
        <f>discount_rate('Bull Model'!EXP_Wacc,'Bull Model'!Terminal_Wacc,E10,'Bull Model'!EXP_CAP,$K6)</f>
        <v>0.075</v>
      </c>
      <c r="F25" s="140">
        <f>discount_rate('Bull Model'!EXP_Wacc,'Bull Model'!Terminal_Wacc,F10,'Bull Model'!EXP_CAP,$K6)</f>
        <v>0.0825</v>
      </c>
      <c r="G25" s="140">
        <f>discount_rate('Bull Model'!EXP_Wacc,'Bull Model'!Terminal_Wacc,G10,'Bull Model'!EXP_CAP,$K6)</f>
        <v>0.09</v>
      </c>
      <c r="H25" s="140">
        <f>discount_rate('Bull Model'!EXP_Wacc,'Bull Model'!Terminal_Wacc,H10,'Bull Model'!EXP_CAP,$K6)</f>
        <v>0.0975</v>
      </c>
      <c r="I25" s="140" t="str">
        <f>discount_rate('Bull Model'!EXP_Wacc,'Bull Model'!Terminal_Wacc,I10,'Bull Model'!EXP_CAP,$K6)</f>
        <v/>
      </c>
      <c r="J25" s="140" t="str">
        <f>discount_rate('Bull Model'!EXP_Wacc,'Bull Model'!Terminal_Wacc,J10,'Bull Model'!EXP_CAP,$K6)</f>
        <v/>
      </c>
      <c r="K25" s="140" t="str">
        <f>discount_rate('Bull Model'!EXP_Wacc,'Bull Model'!Terminal_Wacc,K10,'Bull Model'!EXP_CAP,$K6)</f>
        <v/>
      </c>
      <c r="L25" s="140" t="str">
        <f>discount_rate('Bull Model'!EXP_Wacc,'Bull Model'!Terminal_Wacc,L10,'Bull Model'!EXP_CAP,$K6)</f>
        <v/>
      </c>
      <c r="M25" s="140">
        <f>'Bull Model'!Terminal_Wacc</f>
        <v>0.0975</v>
      </c>
    </row>
    <row r="26">
      <c r="A26" s="156" t="s">
        <v>264</v>
      </c>
      <c r="B26" s="157"/>
      <c r="C26" s="158">
        <f>IF('Bull Model'!ModelYear&gt;'Bull Model'!EXP_CAP,"",1+C25)</f>
        <v>1.075</v>
      </c>
      <c r="D26" s="158">
        <f>IF('Bull Model'!ModelYear&gt;'Bull Model'!EXP_CAP,"",(1+C25)*(1+D25))</f>
        <v>1.155625</v>
      </c>
      <c r="E26" s="158">
        <f>IF('Bull Model'!ModelYear&gt;'Bull Model'!EXP_CAP,"",(1+C25)*(1+D25)*(1+E25))</f>
        <v>1.242296875</v>
      </c>
      <c r="F26" s="158">
        <f>IF('Bull Model'!ModelYear&gt;'Bull Model'!EXP_CAP,"",(1+C25)*(1+D25)*(1+E25)*(1+F25))</f>
        <v>1.344786367</v>
      </c>
      <c r="G26" s="158">
        <f>IF('Bull Model'!ModelYear&gt;'Bull Model'!EXP_CAP,"",(1+C25)*(1+D25)*(1+E25)*(1+F25)*(1+G25))</f>
        <v>1.46581714</v>
      </c>
      <c r="H26" s="158">
        <f>IF('Bull Model'!ModelYear&gt;'Bull Model'!EXP_CAP,"",(1+C25)*(1+D25)*(1+E25)*(1+F25)*(1+G25)*(1+H25))</f>
        <v>1.608734311</v>
      </c>
      <c r="I26" s="158" t="str">
        <f>IF('Bull Model'!ModelYear&gt;'Bull Model'!EXP_CAP,"",(1+C25)*(1+D25)*(1+E25)*(1+F25)*(1+G25)*(1+H25)*(1+I25))</f>
        <v/>
      </c>
      <c r="J26" s="158" t="str">
        <f>IF('Bull Model'!ModelYear&gt;'Bull Model'!EXP_CAP,"",(1+C25)*(1+D25)*(1+E25)*(1+F25)*(1+G25)*(1+H25)*(1+I25)*(1+J25))</f>
        <v/>
      </c>
      <c r="K26" s="158" t="str">
        <f>IF('Bull Model'!ModelYear&gt;'Bull Model'!EXP_CAP,"",(1+C25)*(1+D25)*(1+E25)*(1+F25)*(1+G25)*(1+H25)*(1+I25)*(1+J25)*(1+K25))</f>
        <v/>
      </c>
      <c r="L26" s="158" t="str">
        <f>IF('Bull Model'!ModelYear&gt;'Bull Model'!EXP_CAP,"",(1+C25)*(1+D25)*(1+E25)*(1+F25)*(1+G25)*(1+H25)*(1+I25)*(1+J25)*(1+K25)*(1+L25))</f>
        <v/>
      </c>
      <c r="M26" s="159"/>
    </row>
    <row r="27">
      <c r="A27" s="151" t="s">
        <v>265</v>
      </c>
      <c r="B27" s="160"/>
      <c r="C27" s="152">
        <f>IF('Bull Model'!ModelYear&gt;'Bull Model'!EXP_CAP,"",'Bull Model'!Model_FCFF/C26)</f>
        <v>1307.389568</v>
      </c>
      <c r="D27" s="152">
        <f>IF('Bull Model'!ModelYear&gt;'Bull Model'!EXP_CAP,"",'Bull Model'!Model_FCFF/D26)</f>
        <v>1299.828413</v>
      </c>
      <c r="E27" s="152">
        <f>IF('Bull Model'!ModelYear&gt;'Bull Model'!EXP_CAP,"",'Bull Model'!Model_FCFF/E26)</f>
        <v>1321.087469</v>
      </c>
      <c r="F27" s="152">
        <f>IF('Bull Model'!ModelYear&gt;'Bull Model'!EXP_CAP,"",'Bull Model'!Model_FCFF/F26)</f>
        <v>1343.286449</v>
      </c>
      <c r="G27" s="152">
        <f>IF('Bull Model'!ModelYear&gt;'Bull Model'!EXP_CAP,"",'Bull Model'!Model_FCFF/G26)</f>
        <v>1284.815071</v>
      </c>
      <c r="H27" s="152">
        <f>IF('Bull Model'!ModelYear&gt;'Bull Model'!EXP_CAP,"",'Bull Model'!Model_FCFF/H26)</f>
        <v>1167.802455</v>
      </c>
      <c r="I27" s="152" t="str">
        <f>IF('Bull Model'!ModelYear&gt;'Bull Model'!EXP_CAP,"",'Bull Model'!Model_FCFF/I26)</f>
        <v/>
      </c>
      <c r="J27" s="152" t="str">
        <f>IF('Bull Model'!ModelYear&gt;'Bull Model'!EXP_CAP,"",'Bull Model'!Model_FCFF/J26)</f>
        <v/>
      </c>
      <c r="K27" s="152" t="str">
        <f>IF('Bull Model'!ModelYear&gt;'Bull Model'!EXP_CAP,"",'Bull Model'!Model_FCFF/K26)</f>
        <v/>
      </c>
      <c r="L27" s="152" t="str">
        <f>IF('Bull Model'!ModelYear&gt;'Bull Model'!EXP_CAP,"",'Bull Model'!Model_FCFF/L26)</f>
        <v/>
      </c>
      <c r="M27" s="159"/>
    </row>
    <row r="29">
      <c r="A29" s="46" t="s">
        <v>266</v>
      </c>
      <c r="C29" s="11" t="s">
        <v>267</v>
      </c>
      <c r="D29" s="11" t="s">
        <v>268</v>
      </c>
    </row>
    <row r="30">
      <c r="A30" s="11" t="s">
        <v>269</v>
      </c>
      <c r="C30" s="140">
        <f>D30/D32</f>
        <v>0.3247127921</v>
      </c>
      <c r="D30" s="147">
        <f>SUM(C27:L27)</f>
        <v>7724.209425</v>
      </c>
    </row>
    <row r="31">
      <c r="A31" s="11" t="s">
        <v>270</v>
      </c>
      <c r="C31" s="140">
        <f>1-C30</f>
        <v>0.6752872079</v>
      </c>
      <c r="D31" s="152">
        <f>M24/('Bull Model'!Terminal_Wacc-'Bull Model'!Terminal_EbitGrowth)/IF('Bull Model'!EXP_CAP=0,1,INDIRECT(ADDRESS(ROW(A26),'Bull Model'!EXP_CAP+2)))</f>
        <v>13390.6105</v>
      </c>
      <c r="E31" s="161"/>
    </row>
    <row r="32">
      <c r="A32" s="11" t="s">
        <v>271</v>
      </c>
      <c r="D32" s="152">
        <f>D30+D31+MV_NonOpAssets+IF(Data!S6="",Data!S7,Data!S6)</f>
        <v>23787.81992</v>
      </c>
      <c r="E32" s="161"/>
    </row>
    <row r="34">
      <c r="A34" s="11" t="s">
        <v>272</v>
      </c>
      <c r="D34" s="147">
        <f>Data!D42</f>
        <v>1602</v>
      </c>
    </row>
    <row r="35">
      <c r="A35" s="11" t="s">
        <v>273</v>
      </c>
      <c r="D35" s="162">
        <f>D32-D34</f>
        <v>22185.81992</v>
      </c>
      <c r="E35" s="7"/>
    </row>
    <row r="36">
      <c r="A36" s="11" t="s">
        <v>274</v>
      </c>
      <c r="D36" s="147">
        <f>Data!E52</f>
        <v>0</v>
      </c>
    </row>
    <row r="37">
      <c r="A37" s="11" t="s">
        <v>275</v>
      </c>
      <c r="D37" s="147">
        <f>Data!D43</f>
        <v>0</v>
      </c>
    </row>
    <row r="38">
      <c r="A38" s="11" t="s">
        <v>276</v>
      </c>
      <c r="D38" s="162">
        <f>D35-D36-D37</f>
        <v>22185.81992</v>
      </c>
      <c r="E38" s="7"/>
      <c r="F38" s="163" t="str">
        <f>Asm!C11</f>
        <v>HKD</v>
      </c>
    </row>
    <row r="39">
      <c r="A39" s="11" t="s">
        <v>277</v>
      </c>
      <c r="E39" s="164">
        <f>price_pershare(D38,Data!F2,Cs_Shares,Asm!C12)</f>
        <v>88.18870222</v>
      </c>
      <c r="F39" s="165" t="str">
        <f>Asm!D6</f>
        <v>HKD</v>
      </c>
    </row>
    <row r="41">
      <c r="A41" s="46" t="s">
        <v>278</v>
      </c>
      <c r="B41" s="11" t="s">
        <v>279</v>
      </c>
      <c r="D41" s="133" t="str">
        <f>F39</f>
        <v>HKD</v>
      </c>
      <c r="E41" s="133" t="str">
        <f>Asm!C6</f>
        <v>$52.1</v>
      </c>
      <c r="F41" s="11" t="s">
        <v>280</v>
      </c>
      <c r="G41" s="166">
        <f>E41/E39-1</f>
        <v>-0.4092213777</v>
      </c>
      <c r="H41" s="11" t="str">
        <f>IF(G41&lt;0,"undervalued","overvalued") &amp; " by the market."</f>
        <v>undervalued by the market.</v>
      </c>
    </row>
  </sheetData>
  <mergeCells count="9">
    <mergeCell ref="D37:E37"/>
    <mergeCell ref="D38:E38"/>
    <mergeCell ref="A1:C1"/>
    <mergeCell ref="D30:E30"/>
    <mergeCell ref="D31:E31"/>
    <mergeCell ref="D32:E32"/>
    <mergeCell ref="D34:E34"/>
    <mergeCell ref="D35:E35"/>
    <mergeCell ref="D36:E36"/>
  </mergeCells>
  <dataValidations>
    <dataValidation type="list" allowBlank="1" sqref="B3">
      <formula1>"Base Case,Bear Case,Bull Case"</formula1>
    </dataValidation>
  </dataValidations>
  <drawing r:id="rId2"/>
  <legacyDrawing r:id="rId3"/>
</worksheet>
</file>