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Asset Model" sheetId="3" r:id="rId6"/>
    <sheet state="visible" name="FCF Model" sheetId="4" r:id="rId7"/>
    <sheet state="visible" name="Qualitative Analysis" sheetId="5" r:id="rId8"/>
  </sheets>
  <definedNames>
    <definedName name="Exchange_Rate">Dashboard!$C$14</definedName>
    <definedName name="Common_Shares">Dashboard!$C$8</definedName>
  </definedNames>
  <calcPr/>
  <extLst>
    <ext uri="GoogleSheetsCustomDataVersion1">
      <go:sheetsCustomData xmlns:go="http://customooxmlschemas.google.com/" r:id="rId9" roundtripDataSignature="AMtx7miBmmn/3soVqBGVT6EwppgirHqhtQ=="/>
    </ext>
  </extLst>
</workbook>
</file>

<file path=xl/sharedStrings.xml><?xml version="1.0" encoding="utf-8"?>
<sst xmlns="http://schemas.openxmlformats.org/spreadsheetml/2006/main" count="474" uniqueCount="405">
  <si>
    <t>Company Info:</t>
  </si>
  <si>
    <t>Ticker:</t>
  </si>
  <si>
    <t>0806</t>
  </si>
  <si>
    <t>Ticker Name:</t>
  </si>
  <si>
    <t xml:space="preserve">惠里集团	</t>
  </si>
  <si>
    <t>Valuation Date:</t>
  </si>
  <si>
    <t>Listing Location:</t>
  </si>
  <si>
    <t>HK</t>
  </si>
  <si>
    <t>Current Price:</t>
  </si>
  <si>
    <t>HKD</t>
  </si>
  <si>
    <t>Number of Shares:</t>
  </si>
  <si>
    <t>Capitalization:</t>
  </si>
  <si>
    <t>Discount Rate Assumptions</t>
  </si>
  <si>
    <t>P/E Ratio &amp; Earnings Yield:</t>
  </si>
  <si>
    <t>Real Default-free Rate</t>
  </si>
  <si>
    <t>// If Covered IRP holds, use the higher of US/CN 10y yield</t>
  </si>
  <si>
    <t>Interest Rate Margin</t>
  </si>
  <si>
    <t>// from Warren buffett</t>
  </si>
  <si>
    <t>P/B &amp; EV/EBIT Ratios:</t>
  </si>
  <si>
    <t>Discount rate during CAP</t>
  </si>
  <si>
    <t>// Joel Greenblat Minimum 6%</t>
  </si>
  <si>
    <t>Reporting Currency:</t>
  </si>
  <si>
    <t>Terminal Value Premium</t>
  </si>
  <si>
    <t>// from Aswath Damodaran</t>
  </si>
  <si>
    <t>Exchange Rate:</t>
  </si>
  <si>
    <t>Terminal Value Discount rate</t>
  </si>
  <si>
    <t>// Discount rate here only reflects the downside interest rate risk</t>
  </si>
  <si>
    <t>Valuation Output:</t>
  </si>
  <si>
    <t>Conservative FCF Value</t>
  </si>
  <si>
    <t>Realizable Asset Value</t>
  </si>
  <si>
    <t>Expected price per share (EP) =</t>
  </si>
  <si>
    <t>PE/PB</t>
  </si>
  <si>
    <t>Return Analysis:</t>
  </si>
  <si>
    <t>Buy</t>
  </si>
  <si>
    <t>NOPAT Yield =</t>
  </si>
  <si>
    <t>Buy/Asset Gap</t>
  </si>
  <si>
    <t>Earnings Yield =</t>
  </si>
  <si>
    <t>Gap from Conservative Value</t>
  </si>
  <si>
    <t>Discount:</t>
  </si>
  <si>
    <t>Excess Discount</t>
  </si>
  <si>
    <t>Margin of Safty</t>
  </si>
  <si>
    <t>Valuation Assumptions:</t>
  </si>
  <si>
    <t>1 sentence Pitch</t>
  </si>
  <si>
    <t>Buy Below 1.98. It's a HK listed hedge fund with net realizable assets higher than its market cap and a potentially profitable cyclical business.</t>
  </si>
  <si>
    <t>Strength &amp; Weakness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</si>
  <si>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</si>
  <si>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Its performance would depends largely on uncontrolable market performance.</t>
  </si>
  <si>
    <t>Oppertunities &amp; Threat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</si>
  <si>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</si>
  <si>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</si>
  <si>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</si>
  <si>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</si>
  <si>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</si>
  <si>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</si>
  <si>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</si>
  <si>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</si>
  <si>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</si>
  <si>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</si>
  <si>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</si>
  <si>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</si>
  <si>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</si>
  <si>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</si>
  <si>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</si>
  <si>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</si>
  <si>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</si>
  <si>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</si>
  <si>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</si>
  <si>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</si>
  <si>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</si>
  <si>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</si>
  <si>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</si>
  <si>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</si>
  <si>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</si>
  <si>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NOPAT</t>
  </si>
  <si>
    <t>Interest Expense</t>
  </si>
  <si>
    <t>Non-operating Profit</t>
  </si>
  <si>
    <t>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</si>
  <si>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</si>
  <si>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</si>
  <si>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</si>
  <si>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</si>
  <si>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</si>
  <si>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</si>
  <si>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Equity</t>
  </si>
  <si>
    <t>BV of Minority interests</t>
  </si>
  <si>
    <t>Cash balance</t>
  </si>
  <si>
    <t>Non-operating Assets</t>
  </si>
  <si>
    <t>Invested Capital (IC)</t>
  </si>
  <si>
    <t>Net Capex = PP&amp;E Diff.</t>
  </si>
  <si>
    <t>Net Capex/IC</t>
  </si>
  <si>
    <t>Net Capex/NOPAT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</si>
  <si>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</si>
  <si>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</si>
  <si>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</si>
  <si>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</si>
  <si>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</si>
  <si>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</si>
  <si>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ROIC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</si>
  <si>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</si>
  <si>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</si>
  <si>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</si>
  <si>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</si>
  <si>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</si>
  <si>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</si>
  <si>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</si>
  <si>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1. EBIT Adjustment</t>
  </si>
  <si>
    <t>Perpetual EBIT growth rate =</t>
  </si>
  <si>
    <t>Base year EBIT Adj. approach =</t>
  </si>
  <si>
    <t>No Adjustment</t>
  </si>
  <si>
    <t>1. No Adjustment</t>
  </si>
  <si>
    <t>2. Average after-tax ROIC</t>
  </si>
  <si>
    <t>3. Direct Input</t>
  </si>
  <si>
    <t>2. R&amp;D Adjustment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</si>
  <si>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</si>
  <si>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</si>
  <si>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</si>
  <si>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</si>
  <si>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</si>
  <si>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</si>
  <si>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year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</si>
  <si>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</si>
  <si>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</si>
  <si>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</si>
  <si>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</si>
  <si>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</si>
  <si>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</si>
  <si>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</si>
  <si>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</si>
  <si>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</si>
  <si>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</si>
  <si>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</si>
  <si>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</si>
  <si>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</si>
  <si>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</si>
  <si>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</si>
  <si>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</si>
  <si>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</si>
  <si>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</si>
  <si>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</si>
  <si>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</si>
  <si>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</si>
  <si>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Quickly Realizable Value 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</si>
  <si>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</si>
  <si>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</si>
  <si>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</si>
  <si>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</si>
  <si>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</si>
  <si>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</si>
  <si>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>Quickly Realizable Value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</si>
  <si>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</si>
  <si>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</si>
  <si>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</si>
  <si>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</si>
  <si>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</si>
  <si>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</si>
  <si>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</si>
  <si>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</si>
  <si>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</si>
  <si>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</si>
  <si>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</si>
  <si>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</si>
  <si>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</si>
  <si>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</si>
  <si>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</si>
  <si>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</si>
  <si>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</si>
  <si>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</si>
  <si>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</si>
  <si>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</si>
  <si>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</si>
  <si>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</si>
  <si>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</si>
  <si>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</si>
  <si>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</si>
  <si>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</si>
  <si>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</si>
  <si>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</si>
  <si>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</si>
  <si>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</si>
  <si>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</si>
  <si>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</si>
  <si>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</si>
  <si>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</si>
  <si>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</si>
  <si>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</si>
  <si>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</si>
  <si>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</si>
  <si>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</si>
  <si>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</si>
  <si>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</si>
  <si>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</si>
  <si>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</si>
  <si>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</si>
  <si>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</si>
  <si>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</si>
  <si>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</si>
  <si>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</si>
  <si>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</si>
  <si>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</si>
  <si>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</si>
  <si>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</si>
  <si>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</si>
  <si>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P/B Approach</t>
  </si>
  <si>
    <t>1. BV of the MI</t>
  </si>
  <si>
    <t>2. P/B Approach</t>
  </si>
  <si>
    <t>2. Total Debt and Options</t>
  </si>
  <si>
    <t>Preference Shares</t>
  </si>
  <si>
    <t>MV of the Options</t>
  </si>
  <si>
    <t>// If avg exercise price &gt; current price, then assume 0</t>
  </si>
  <si>
    <t>Total Debt = Debt + Preference shares + Option cost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</si>
  <si>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</si>
  <si>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</si>
  <si>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</si>
  <si>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</si>
  <si>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</si>
  <si>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4. Estimated Reinvestment from CF Statement</t>
  </si>
  <si>
    <t>Valuation Output</t>
  </si>
  <si>
    <t>// When forecasting: 1. decompose your forecast 2. inside &amp; outside views 3. invert by finding what's impossible to happen.</t>
  </si>
  <si>
    <t>Value Drivers</t>
  </si>
  <si>
    <t>Terminal Growth</t>
  </si>
  <si>
    <t>Terminal Year</t>
  </si>
  <si>
    <t>Note</t>
  </si>
  <si>
    <t>Revenue Growth</t>
  </si>
  <si>
    <t>Total Revenue =</t>
  </si>
  <si>
    <t>// Breakeven at 950m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</si>
  <si>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</si>
  <si>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</si>
  <si>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</si>
  <si>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</si>
  <si>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</si>
  <si>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</si>
  <si>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</t>
  </si>
  <si>
    <t>// Normalized EBIT at terminal year</t>
  </si>
  <si>
    <t>Tax rate</t>
  </si>
  <si>
    <t>// 0 excess return assumption at terminal year</t>
  </si>
  <si>
    <t>Reinvestment/NOPAT</t>
  </si>
  <si>
    <t>FCFF</t>
  </si>
  <si>
    <t>Discount Rate</t>
  </si>
  <si>
    <t>Cumulated Discount factor</t>
  </si>
  <si>
    <t>PV of FCFF</t>
  </si>
  <si>
    <t>No Excess return Scenario</t>
  </si>
  <si>
    <t>// used as the valuation floor</t>
  </si>
  <si>
    <t>Terminal Value =</t>
  </si>
  <si>
    <t>% share</t>
  </si>
  <si>
    <t>NOPAT/TV Yield =</t>
  </si>
  <si>
    <t>+ PV of FCFF in first 3 years =</t>
  </si>
  <si>
    <t>+ PV of Terminal Value =</t>
  </si>
  <si>
    <t>+ Non-Operating Asset</t>
  </si>
  <si>
    <t>+ Cash</t>
  </si>
  <si>
    <t>Value of Firm =</t>
  </si>
  <si>
    <t>- Total outstanding debt =</t>
  </si>
  <si>
    <t>Value of Equity =</t>
  </si>
  <si>
    <t>- MV of Minority Interests</t>
  </si>
  <si>
    <t>Value per common share =</t>
  </si>
  <si>
    <t>Value of equity per share =</t>
  </si>
  <si>
    <t>Normal return Scenario</t>
  </si>
  <si>
    <t>NOPAT/TV Yield</t>
  </si>
  <si>
    <t>Terminal Value</t>
  </si>
  <si>
    <t>Value per share</t>
  </si>
  <si>
    <t>PE</t>
  </si>
  <si>
    <t>PB</t>
  </si>
  <si>
    <t>Worst case</t>
  </si>
  <si>
    <t>No excess return</t>
  </si>
  <si>
    <t>Reasonable Case</t>
  </si>
  <si>
    <t>Light reinvestment requirement</t>
  </si>
  <si>
    <t>Option B:</t>
  </si>
  <si>
    <t>Growth Rate</t>
  </si>
  <si>
    <t>Valuation Range:</t>
  </si>
  <si>
    <t>From</t>
  </si>
  <si>
    <t>Expected Value per share =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</si>
  <si>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</si>
  <si>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</si>
  <si>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</si>
  <si>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</si>
  <si>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</si>
  <si>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</si>
  <si>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</si>
  <si>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</si>
  <si>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</si>
  <si>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</si>
  <si>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</si>
  <si>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</si>
  <si>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</si>
  <si>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</si>
  <si>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</si>
  <si>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</si>
  <si>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</si>
  <si>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</si>
  <si>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</si>
  <si>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</si>
  <si>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</si>
  <si>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</si>
  <si>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</si>
  <si>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</si>
  <si>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</si>
  <si>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</si>
  <si>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</si>
  <si>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</si>
  <si>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</si>
  <si>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</si>
  <si>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</si>
  <si>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</si>
  <si>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</si>
  <si>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</si>
  <si>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</si>
  <si>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</si>
  <si>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</si>
  <si>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</si>
  <si>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Quality Score</t>
  </si>
  <si>
    <t>a. Business Tenets:</t>
  </si>
  <si>
    <t>1. Does the company have a consistent operating and earning history? (in non-cyclical business?)</t>
  </si>
  <si>
    <t>Strongly disagree</t>
  </si>
  <si>
    <t>2. Does the company have sustainable competitive advantages?</t>
  </si>
  <si>
    <t>unclear</t>
  </si>
  <si>
    <t>3. Does the company have lots of reinvestment opportunities within their moats?</t>
  </si>
  <si>
    <t>4. Does the company have low amount of operating leverage?</t>
  </si>
  <si>
    <t>Strongly agree</t>
  </si>
  <si>
    <t>5. Does the company have a good opeartional risk management history?</t>
  </si>
  <si>
    <t>agree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</si>
  <si>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</si>
  <si>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</si>
  <si>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</si>
  <si>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</si>
  <si>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</si>
  <si>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</si>
  <si>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</si>
  <si>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</si>
  <si>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</si>
  <si>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</si>
  <si>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</si>
  <si>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</si>
  <si>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</si>
  <si>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</si>
  <si>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</si>
  <si>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</si>
  <si>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</si>
  <si>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</si>
  <si>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t>The quality rating is:</t>
  </si>
  <si>
    <t>PART II: Valuation Error &amp; Volatility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</si>
  <si>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Business Risk:</t>
    </r>
    <r>
      <rPr>
        <rFont val="Arial"/>
        <color theme="1"/>
        <sz val="10.0"/>
      </rPr>
      <t xml:space="preserve"> Is the business simple and understandable (including transparent disclosure)?</t>
    </r>
  </si>
  <si>
    <r>
      <rPr>
        <rFont val="Arial"/>
        <color rgb="FF000000"/>
        <sz val="10.0"/>
      </rPr>
      <t xml:space="preserve">3. </t>
    </r>
    <r>
      <rPr>
        <rFont val="Arial"/>
        <b/>
        <color rgb="FF000000"/>
        <sz val="10.0"/>
      </rPr>
      <t>Valuation Risk</t>
    </r>
    <r>
      <rPr>
        <rFont val="Arial"/>
        <color rgb="FF000000"/>
        <sz val="10.0"/>
      </rPr>
      <t>: Does the company have stable and consistent earnings?</t>
    </r>
  </si>
  <si>
    <r>
      <rPr>
        <rFont val="Arial"/>
        <color theme="1"/>
        <sz val="10.0"/>
      </rPr>
      <t xml:space="preserve">2. </t>
    </r>
    <r>
      <rPr>
        <rFont val="Arial"/>
        <b/>
        <color theme="1"/>
        <sz val="10.0"/>
      </rPr>
      <t>Credit Risk:</t>
    </r>
    <r>
      <rPr>
        <rFont val="Arial"/>
        <color theme="1"/>
        <sz val="10.0"/>
      </rPr>
      <t xml:space="preserve"> Does the company have low financial leverage and interest-bearing debt?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</si>
  <si>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Management risk: </t>
    </r>
    <r>
      <rPr>
        <rFont val="Arial"/>
        <color theme="1"/>
        <sz val="10.0"/>
      </rPr>
      <t>Does the company have a competent management team?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</si>
  <si>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Financial market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risk:</t>
    </r>
    <r>
      <rPr>
        <rFont val="Arial"/>
        <color theme="1"/>
        <sz val="10.0"/>
      </rPr>
      <t xml:space="preserve"> Is the market sentiment not in extreme?</t>
    </r>
  </si>
  <si>
    <t>The Valuation quality rating is:</t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</si>
  <si>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</si>
  <si>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</si>
  <si>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</si>
  <si>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</si>
  <si>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</si>
  <si>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</si>
  <si>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</si>
  <si>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</si>
  <si>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</si>
  <si>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disagree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</si>
  <si>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</si>
  <si>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</si>
  <si>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</si>
  <si>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</si>
  <si>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</si>
  <si>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</si>
  <si>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</si>
  <si>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</si>
  <si>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</si>
  <si>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</si>
  <si>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</si>
  <si>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</si>
  <si>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</si>
  <si>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</si>
  <si>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</si>
  <si>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</si>
  <si>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</si>
  <si>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</si>
  <si>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</si>
  <si>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</si>
  <si>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</si>
  <si>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</si>
  <si>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</si>
  <si>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</si>
  <si>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Information Technology Like, 6.6y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</si>
  <si>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</si>
  <si>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</si>
  <si>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</si>
  <si>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</si>
  <si>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</si>
  <si>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</si>
  <si>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</si>
  <si>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</si>
  <si>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</si>
  <si>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</si>
  <si>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non-perishable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</si>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</sst>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yyyy\-mm\-dd"/>
    <numFmt numFmtId="165" formatCode="#,##0&quot;mm&quot;"/>
    <numFmt numFmtId="166" formatCode="#,##0.00&quot;x&quot;"/>
    <numFmt numFmtId="167" formatCode="0.00\x"/>
    <numFmt numFmtId="168" formatCode="&quot;$&quot;#,##0_);[Red]\(&quot;$&quot;#,##0\)"/>
    <numFmt numFmtId="169" formatCode="mm/dd/yyyy"/>
    <numFmt numFmtId="170" formatCode="&quot;Base Allocation &quot;0%"/>
    <numFmt numFmtId="171" formatCode="&quot;Increased Allocation &quot;0%"/>
    <numFmt numFmtId="172" formatCode="&quot;Last Allocation &quot;0%"/>
    <numFmt numFmtId="173" formatCode="&quot;Max &quot;0%"/>
    <numFmt numFmtId="174" formatCode="&quot;$&quot;#,##0.00_);[Red]\(&quot;$&quot;#,##0.00\)"/>
    <numFmt numFmtId="175" formatCode="[$$]#,##0&quot;m&quot;"/>
    <numFmt numFmtId="176" formatCode="&quot;Past &quot;0&quot; yrs Avg. NI&quot;"/>
    <numFmt numFmtId="177" formatCode="&quot;Past &quot;0&quot; yrs Avg. NOPAT&quot;"/>
    <numFmt numFmtId="178" formatCode="0\ &quot;Years&quot;"/>
    <numFmt numFmtId="179" formatCode="&quot;Past Actual &quot;0&quot;Y&quot;"/>
    <numFmt numFmtId="180" formatCode="0.00&quot;x&quot;"/>
  </numFmts>
  <fonts count="40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FF"/>
      <name val="Arial"/>
    </font>
    <font/>
    <font>
      <sz val="10.0"/>
      <color rgb="FFCC4125"/>
      <name val="Arial"/>
    </font>
    <font>
      <b/>
      <sz val="10.0"/>
      <color theme="0"/>
      <name val="Arial"/>
    </font>
    <font>
      <i/>
      <sz val="10.0"/>
      <color theme="1"/>
      <name val="Arial"/>
    </font>
    <font>
      <sz val="10.0"/>
      <color rgb="FFA61C00"/>
      <name val="Arial"/>
    </font>
    <font>
      <sz val="10.0"/>
      <color rgb="FFFFFFFF"/>
      <name val="Arial"/>
    </font>
    <font>
      <i/>
      <sz val="10.0"/>
      <color rgb="FF0000FF"/>
      <name val="Arial"/>
    </font>
    <font>
      <i/>
      <sz val="10.0"/>
      <color rgb="FF000000"/>
      <name val="Arial"/>
    </font>
    <font>
      <sz val="10.0"/>
      <color rgb="FFC00000"/>
      <name val="Arial"/>
    </font>
    <font>
      <sz val="11.0"/>
      <color theme="1"/>
      <name val="Calibri"/>
    </font>
    <font>
      <sz val="11.0"/>
      <color rgb="FF0000FF"/>
      <name val="Calibri"/>
    </font>
    <font>
      <b/>
      <sz val="11.0"/>
      <color theme="1"/>
      <name val="Calibri"/>
    </font>
    <font>
      <b/>
      <sz val="11.0"/>
      <color rgb="FF0000FF"/>
      <name val="Calibri"/>
    </font>
    <font>
      <sz val="10.0"/>
      <color theme="0"/>
      <name val="Arial"/>
    </font>
    <font>
      <sz val="10.0"/>
      <color theme="0"/>
      <name val="Helvetica Neue"/>
    </font>
    <font>
      <sz val="10.0"/>
      <color theme="1"/>
      <name val="Helvetica Neue"/>
    </font>
    <font>
      <sz val="9.0"/>
      <color theme="0"/>
      <name val="Arial"/>
    </font>
    <font>
      <i/>
      <u/>
      <sz val="9.0"/>
      <color theme="1"/>
      <name val="Calibri"/>
    </font>
    <font>
      <i/>
      <u/>
      <sz val="9.0"/>
      <color theme="1"/>
      <name val="Calibri"/>
    </font>
    <font>
      <sz val="9.0"/>
      <color theme="1"/>
      <name val="Arial"/>
    </font>
    <font>
      <sz val="9.0"/>
      <color theme="1"/>
      <name val="Calibri"/>
    </font>
    <font>
      <b/>
      <sz val="10.0"/>
      <color rgb="FF000000"/>
      <name val="Arial"/>
    </font>
    <font>
      <i/>
      <u/>
      <sz val="10.0"/>
      <color theme="1"/>
      <name val="Arial"/>
    </font>
    <font>
      <i/>
      <sz val="9.0"/>
      <color rgb="FFFFFFFF"/>
      <name val="Arial"/>
    </font>
    <font>
      <b/>
      <u/>
      <sz val="10.0"/>
      <color rgb="FF000000"/>
      <name val="Arial"/>
    </font>
    <font>
      <b/>
      <sz val="10.0"/>
      <color rgb="FF0000FF"/>
      <name val="Arial"/>
    </font>
    <font>
      <i/>
      <u/>
      <sz val="10.0"/>
      <color theme="1"/>
      <name val="Arial"/>
    </font>
    <font>
      <b/>
      <u/>
      <sz val="10.0"/>
      <color rgb="FFC00000"/>
      <name val="Arial"/>
    </font>
    <font>
      <color theme="1"/>
      <name val="Arial"/>
      <scheme val="minor"/>
    </font>
    <font>
      <b/>
      <u/>
      <sz val="10.0"/>
      <color rgb="FF000000"/>
      <name val="Arial"/>
    </font>
    <font>
      <u/>
      <sz val="10.0"/>
      <color theme="1"/>
      <name val="Arial"/>
    </font>
    <font>
      <b/>
      <i/>
      <u/>
      <sz val="10.0"/>
      <color theme="1"/>
      <name val="Arial"/>
    </font>
    <font>
      <b/>
      <i/>
      <sz val="10.0"/>
      <color theme="1"/>
      <name val="Arial"/>
    </font>
    <font>
      <sz val="11.0"/>
      <color rgb="FF1155CC"/>
      <name val="Inconsolata"/>
    </font>
  </fonts>
  <fills count="14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DE49A"/>
        <bgColor rgb="FFFDE49A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</fills>
  <borders count="41">
    <border/>
    <border>
      <left/>
      <right/>
      <top/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/>
    </border>
    <border>
      <left/>
      <right/>
      <top/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/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horizontal="center"/>
    </xf>
    <xf borderId="0" fillId="0" fontId="4" numFmtId="0" xfId="0" applyFont="1"/>
    <xf borderId="2" fillId="3" fontId="5" numFmtId="49" xfId="0" applyAlignment="1" applyBorder="1" applyFill="1" applyFont="1" applyNumberFormat="1">
      <alignment horizontal="center"/>
    </xf>
    <xf borderId="3" fillId="0" fontId="6" numFmtId="0" xfId="0" applyBorder="1" applyFont="1"/>
    <xf borderId="4" fillId="3" fontId="5" numFmtId="0" xfId="0" applyAlignment="1" applyBorder="1" applyFont="1">
      <alignment horizontal="center"/>
    </xf>
    <xf borderId="5" fillId="0" fontId="6" numFmtId="0" xfId="0" applyBorder="1" applyFont="1"/>
    <xf borderId="6" fillId="3" fontId="5" numFmtId="164" xfId="0" applyAlignment="1" applyBorder="1" applyFont="1" applyNumberFormat="1">
      <alignment horizontal="center"/>
    </xf>
    <xf borderId="7" fillId="0" fontId="6" numFmtId="0" xfId="0" applyBorder="1" applyFont="1"/>
    <xf borderId="0" fillId="0" fontId="7" numFmtId="0" xfId="0" applyFont="1"/>
    <xf borderId="8" fillId="0" fontId="4" numFmtId="0" xfId="0" applyBorder="1" applyFont="1"/>
    <xf borderId="9" fillId="0" fontId="6" numFmtId="0" xfId="0" applyBorder="1" applyFont="1"/>
    <xf borderId="1" fillId="3" fontId="5" numFmtId="4" xfId="0" applyAlignment="1" applyBorder="1" applyFont="1" applyNumberFormat="1">
      <alignment horizontal="right"/>
    </xf>
    <xf borderId="10" fillId="3" fontId="5" numFmtId="0" xfId="0" applyAlignment="1" applyBorder="1" applyFont="1">
      <alignment horizontal="left"/>
    </xf>
    <xf borderId="4" fillId="3" fontId="5" numFmtId="3" xfId="0" applyAlignment="1" applyBorder="1" applyFont="1" applyNumberFormat="1">
      <alignment horizontal="center"/>
    </xf>
    <xf borderId="4" fillId="4" fontId="1" numFmtId="165" xfId="0" applyAlignment="1" applyBorder="1" applyFill="1" applyFont="1" applyNumberFormat="1">
      <alignment horizontal="center"/>
    </xf>
    <xf borderId="11" fillId="2" fontId="2" numFmtId="0" xfId="0" applyBorder="1" applyFont="1"/>
    <xf borderId="11" fillId="2" fontId="8" numFmtId="0" xfId="0" applyBorder="1" applyFont="1"/>
    <xf borderId="12" fillId="4" fontId="4" numFmtId="166" xfId="0" applyAlignment="1" applyBorder="1" applyFont="1" applyNumberFormat="1">
      <alignment horizontal="center"/>
    </xf>
    <xf borderId="13" fillId="4" fontId="4" numFmtId="10" xfId="0" applyAlignment="1" applyBorder="1" applyFont="1" applyNumberFormat="1">
      <alignment horizontal="center"/>
    </xf>
    <xf borderId="14" fillId="0" fontId="9" numFmtId="0" xfId="0" applyAlignment="1" applyBorder="1" applyFont="1">
      <alignment horizontal="right"/>
    </xf>
    <xf borderId="15" fillId="0" fontId="6" numFmtId="0" xfId="0" applyBorder="1" applyFont="1"/>
    <xf borderId="11" fillId="3" fontId="5" numFmtId="10" xfId="0" applyAlignment="1" applyBorder="1" applyFont="1" applyNumberFormat="1">
      <alignment horizontal="center"/>
    </xf>
    <xf borderId="16" fillId="0" fontId="4" numFmtId="0" xfId="0" applyBorder="1" applyFont="1"/>
    <xf borderId="4" fillId="4" fontId="4" numFmtId="167" xfId="0" applyAlignment="1" applyBorder="1" applyFont="1" applyNumberFormat="1">
      <alignment horizontal="center"/>
    </xf>
    <xf borderId="17" fillId="0" fontId="9" numFmtId="0" xfId="0" applyAlignment="1" applyBorder="1" applyFont="1">
      <alignment horizontal="right"/>
    </xf>
    <xf borderId="11" fillId="4" fontId="4" numFmtId="10" xfId="0" applyAlignment="1" applyBorder="1" applyFont="1" applyNumberFormat="1">
      <alignment horizontal="center"/>
    </xf>
    <xf borderId="18" fillId="4" fontId="4" numFmtId="166" xfId="0" applyAlignment="1" applyBorder="1" applyFont="1" applyNumberFormat="1">
      <alignment horizontal="center"/>
    </xf>
    <xf borderId="19" fillId="4" fontId="4" numFmtId="167" xfId="0" applyAlignment="1" applyBorder="1" applyFont="1" applyNumberFormat="1">
      <alignment horizontal="center"/>
    </xf>
    <xf borderId="17" fillId="0" fontId="4" numFmtId="0" xfId="0" applyBorder="1" applyFont="1"/>
    <xf borderId="16" fillId="0" fontId="10" numFmtId="0" xfId="0" applyBorder="1" applyFont="1"/>
    <xf borderId="20" fillId="0" fontId="4" numFmtId="0" xfId="0" applyBorder="1" applyFont="1"/>
    <xf borderId="18" fillId="5" fontId="4" numFmtId="0" xfId="0" applyAlignment="1" applyBorder="1" applyFill="1" applyFont="1">
      <alignment horizontal="right"/>
    </xf>
    <xf borderId="19" fillId="4" fontId="4" numFmtId="0" xfId="0" applyAlignment="1" applyBorder="1" applyFont="1">
      <alignment horizontal="center"/>
    </xf>
    <xf borderId="14" fillId="0" fontId="4" numFmtId="0" xfId="0" applyBorder="1" applyFont="1"/>
    <xf borderId="1" fillId="6" fontId="4" numFmtId="0" xfId="0" applyBorder="1" applyFill="1" applyFont="1"/>
    <xf borderId="14" fillId="0" fontId="3" numFmtId="0" xfId="0" applyAlignment="1" applyBorder="1" applyFont="1">
      <alignment horizontal="center"/>
    </xf>
    <xf borderId="8" fillId="0" fontId="4" numFmtId="0" xfId="0" applyAlignment="1" applyBorder="1" applyFont="1">
      <alignment horizontal="left"/>
    </xf>
    <xf borderId="2" fillId="4" fontId="4" numFmtId="2" xfId="0" applyAlignment="1" applyBorder="1" applyFont="1" applyNumberFormat="1">
      <alignment horizontal="center"/>
    </xf>
    <xf borderId="21" fillId="0" fontId="6" numFmtId="0" xfId="0" applyBorder="1" applyFont="1"/>
    <xf borderId="22" fillId="4" fontId="4" numFmtId="2" xfId="0" applyAlignment="1" applyBorder="1" applyFont="1" applyNumberFormat="1">
      <alignment horizontal="center"/>
    </xf>
    <xf borderId="0" fillId="0" fontId="4" numFmtId="0" xfId="0" applyAlignment="1" applyFont="1">
      <alignment horizontal="right"/>
    </xf>
    <xf borderId="0" fillId="0" fontId="4" numFmtId="10" xfId="0" applyAlignment="1" applyFont="1" applyNumberFormat="1">
      <alignment horizontal="center"/>
    </xf>
    <xf borderId="0" fillId="0" fontId="9" numFmtId="0" xfId="0" applyAlignment="1" applyFont="1">
      <alignment horizontal="right"/>
    </xf>
    <xf borderId="23" fillId="4" fontId="9" numFmtId="166" xfId="0" applyAlignment="1" applyBorder="1" applyFont="1" applyNumberFormat="1">
      <alignment horizontal="center"/>
    </xf>
    <xf borderId="24" fillId="4" fontId="9" numFmtId="166" xfId="0" applyAlignment="1" applyBorder="1" applyFont="1" applyNumberFormat="1">
      <alignment horizontal="center"/>
    </xf>
    <xf borderId="20" fillId="0" fontId="11" numFmtId="0" xfId="0" applyAlignment="1" applyBorder="1" applyFont="1">
      <alignment horizontal="left"/>
    </xf>
    <xf borderId="0" fillId="0" fontId="11" numFmtId="0" xfId="0" applyAlignment="1" applyFont="1">
      <alignment horizontal="left"/>
    </xf>
    <xf borderId="20" fillId="0" fontId="1" numFmtId="0" xfId="0" applyBorder="1" applyFont="1"/>
    <xf borderId="8" fillId="0" fontId="4" numFmtId="0" xfId="0" applyAlignment="1" applyBorder="1" applyFont="1">
      <alignment horizontal="center"/>
    </xf>
    <xf borderId="6" fillId="3" fontId="12" numFmtId="4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24" fillId="4" fontId="4" numFmtId="10" xfId="0" applyAlignment="1" applyBorder="1" applyFont="1" applyNumberFormat="1">
      <alignment horizontal="center"/>
    </xf>
    <xf borderId="0" fillId="0" fontId="9" numFmtId="0" xfId="0" applyAlignment="1" applyFont="1">
      <alignment horizontal="center"/>
    </xf>
    <xf borderId="20" fillId="0" fontId="9" numFmtId="0" xfId="0" applyAlignment="1" applyBorder="1" applyFont="1">
      <alignment horizontal="center"/>
    </xf>
    <xf borderId="17" fillId="0" fontId="13" numFmtId="0" xfId="0" applyAlignment="1" applyBorder="1" applyFont="1">
      <alignment horizontal="center"/>
    </xf>
    <xf borderId="24" fillId="4" fontId="13" numFmtId="10" xfId="0" applyAlignment="1" applyBorder="1" applyFont="1" applyNumberFormat="1">
      <alignment horizontal="center"/>
    </xf>
    <xf borderId="11" fillId="0" fontId="9" numFmtId="0" xfId="0" applyAlignment="1" applyBorder="1" applyFont="1">
      <alignment horizontal="right"/>
    </xf>
    <xf borderId="11" fillId="0" fontId="4" numFmtId="0" xfId="0" applyAlignment="1" applyBorder="1" applyFont="1">
      <alignment horizontal="center" vertical="center"/>
    </xf>
    <xf borderId="14" fillId="3" fontId="14" numFmtId="0" xfId="0" applyAlignment="1" applyBorder="1" applyFont="1">
      <alignment horizontal="center" vertical="center"/>
    </xf>
    <xf borderId="17" fillId="0" fontId="6" numFmtId="0" xfId="0" applyBorder="1" applyFont="1"/>
    <xf borderId="25" fillId="0" fontId="4" numFmtId="0" xfId="0" applyAlignment="1" applyBorder="1" applyFont="1">
      <alignment horizontal="center" vertical="center"/>
    </xf>
    <xf borderId="22" fillId="3" fontId="5" numFmtId="0" xfId="0" applyAlignment="1" applyBorder="1" applyFont="1">
      <alignment horizontal="left" shrinkToFit="0" vertical="center" wrapText="1"/>
    </xf>
    <xf borderId="26" fillId="0" fontId="6" numFmtId="0" xfId="0" applyBorder="1" applyFont="1"/>
    <xf borderId="14" fillId="3" fontId="5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center"/>
    </xf>
    <xf borderId="1" fillId="3" fontId="16" numFmtId="168" xfId="0" applyAlignment="1" applyBorder="1" applyFont="1" applyNumberFormat="1">
      <alignment horizontal="center"/>
    </xf>
    <xf borderId="0" fillId="0" fontId="15" numFmtId="0" xfId="0" applyFont="1"/>
    <xf borderId="4" fillId="3" fontId="16" numFmtId="169" xfId="0" applyAlignment="1" applyBorder="1" applyFont="1" applyNumberFormat="1">
      <alignment horizontal="center"/>
    </xf>
    <xf borderId="4" fillId="3" fontId="16" numFmtId="14" xfId="0" applyAlignment="1" applyBorder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15" numFmtId="170" xfId="0" applyAlignment="1" applyFont="1" applyNumberFormat="1">
      <alignment horizontal="center"/>
    </xf>
    <xf borderId="0" fillId="0" fontId="15" numFmtId="171" xfId="0" applyAlignment="1" applyFont="1" applyNumberFormat="1">
      <alignment horizontal="center"/>
    </xf>
    <xf borderId="0" fillId="0" fontId="15" numFmtId="172" xfId="0" applyAlignment="1" applyFont="1" applyNumberFormat="1">
      <alignment horizontal="center"/>
    </xf>
    <xf borderId="27" fillId="0" fontId="6" numFmtId="0" xfId="0" applyBorder="1" applyFont="1"/>
    <xf borderId="16" fillId="0" fontId="15" numFmtId="173" xfId="0" applyAlignment="1" applyBorder="1" applyFont="1" applyNumberFormat="1">
      <alignment horizontal="center"/>
    </xf>
    <xf borderId="4" fillId="3" fontId="16" numFmtId="3" xfId="0" applyAlignment="1" applyBorder="1" applyFont="1" applyNumberFormat="1">
      <alignment horizontal="center"/>
    </xf>
    <xf borderId="0" fillId="0" fontId="15" numFmtId="3" xfId="0" applyAlignment="1" applyFont="1" applyNumberFormat="1">
      <alignment horizontal="center"/>
    </xf>
    <xf borderId="4" fillId="3" fontId="18" numFmtId="174" xfId="0" applyAlignment="1" applyBorder="1" applyFont="1" applyNumberFormat="1">
      <alignment horizontal="center"/>
    </xf>
    <xf borderId="4" fillId="3" fontId="18" numFmtId="174" xfId="0" applyAlignment="1" applyBorder="1" applyFont="1" applyNumberFormat="1">
      <alignment horizontal="center" readingOrder="0"/>
    </xf>
    <xf borderId="1" fillId="7" fontId="15" numFmtId="0" xfId="0" applyBorder="1" applyFill="1" applyFont="1"/>
    <xf borderId="0" fillId="0" fontId="15" numFmtId="175" xfId="0" applyAlignment="1" applyFont="1" applyNumberFormat="1">
      <alignment horizontal="center"/>
    </xf>
    <xf borderId="28" fillId="7" fontId="15" numFmtId="0" xfId="0" applyBorder="1" applyFont="1"/>
    <xf borderId="8" fillId="0" fontId="15" numFmtId="0" xfId="0" applyAlignment="1" applyBorder="1" applyFont="1">
      <alignment horizontal="center"/>
    </xf>
    <xf borderId="8" fillId="0" fontId="17" numFmtId="168" xfId="0" applyAlignment="1" applyBorder="1" applyFont="1" applyNumberFormat="1">
      <alignment horizontal="center"/>
    </xf>
    <xf borderId="8" fillId="0" fontId="6" numFmtId="0" xfId="0" applyBorder="1" applyFont="1"/>
    <xf borderId="29" fillId="0" fontId="6" numFmtId="0" xfId="0" applyBorder="1" applyFont="1"/>
    <xf borderId="4" fillId="7" fontId="15" numFmtId="0" xfId="0" applyBorder="1" applyFont="1"/>
    <xf borderId="0" fillId="0" fontId="17" numFmtId="174" xfId="0" applyAlignment="1" applyFont="1" applyNumberFormat="1">
      <alignment horizontal="center"/>
    </xf>
    <xf borderId="1" fillId="6" fontId="3" numFmtId="0" xfId="0" applyBorder="1" applyFont="1"/>
    <xf borderId="0" fillId="0" fontId="2" numFmtId="0" xfId="0" applyFont="1"/>
    <xf borderId="0" fillId="0" fontId="11" numFmtId="0" xfId="0" applyFont="1"/>
    <xf borderId="1" fillId="8" fontId="2" numFmtId="0" xfId="0" applyBorder="1" applyFill="1" applyFont="1"/>
    <xf borderId="1" fillId="8" fontId="11" numFmtId="0" xfId="0" applyBorder="1" applyFont="1"/>
    <xf borderId="11" fillId="3" fontId="5" numFmtId="0" xfId="0" applyAlignment="1" applyBorder="1" applyFont="1">
      <alignment horizontal="center"/>
    </xf>
    <xf borderId="1" fillId="3" fontId="5" numFmtId="176" xfId="0" applyAlignment="1" applyBorder="1" applyFont="1" applyNumberFormat="1">
      <alignment horizontal="left"/>
    </xf>
    <xf borderId="11" fillId="9" fontId="4" numFmtId="3" xfId="0" applyAlignment="1" applyBorder="1" applyFill="1" applyFont="1" applyNumberFormat="1">
      <alignment horizontal="center"/>
    </xf>
    <xf borderId="11" fillId="4" fontId="1" numFmtId="10" xfId="0" applyAlignment="1" applyBorder="1" applyFont="1" applyNumberFormat="1">
      <alignment horizontal="center"/>
    </xf>
    <xf borderId="11" fillId="3" fontId="5" numFmtId="3" xfId="0" applyAlignment="1" applyBorder="1" applyFont="1" applyNumberFormat="1">
      <alignment horizontal="center"/>
    </xf>
    <xf borderId="0" fillId="0" fontId="4" numFmtId="177" xfId="0" applyAlignment="1" applyFont="1" applyNumberFormat="1">
      <alignment horizontal="left"/>
    </xf>
    <xf borderId="11" fillId="0" fontId="4" numFmtId="0" xfId="0" applyAlignment="1" applyBorder="1" applyFont="1">
      <alignment shrinkToFit="0" wrapText="1"/>
    </xf>
    <xf borderId="11" fillId="8" fontId="19" numFmtId="0" xfId="0" applyAlignment="1" applyBorder="1" applyFont="1">
      <alignment horizontal="center"/>
    </xf>
    <xf borderId="11" fillId="8" fontId="11" numFmtId="0" xfId="0" applyAlignment="1" applyBorder="1" applyFont="1">
      <alignment horizontal="center" shrinkToFit="0" wrapText="1"/>
    </xf>
    <xf borderId="11" fillId="10" fontId="4" numFmtId="10" xfId="0" applyAlignment="1" applyBorder="1" applyFill="1" applyFont="1" applyNumberFormat="1">
      <alignment horizontal="center"/>
    </xf>
    <xf borderId="11" fillId="4" fontId="4" numFmtId="3" xfId="0" applyAlignment="1" applyBorder="1" applyFont="1" applyNumberFormat="1">
      <alignment horizontal="center"/>
    </xf>
    <xf borderId="30" fillId="10" fontId="4" numFmtId="0" xfId="0" applyAlignment="1" applyBorder="1" applyFont="1">
      <alignment horizontal="center"/>
    </xf>
    <xf borderId="11" fillId="4" fontId="4" numFmtId="4" xfId="0" applyAlignment="1" applyBorder="1" applyFont="1" applyNumberFormat="1">
      <alignment horizontal="center"/>
    </xf>
    <xf borderId="11" fillId="10" fontId="4" numFmtId="0" xfId="0" applyAlignment="1" applyBorder="1" applyFont="1">
      <alignment horizontal="center"/>
    </xf>
    <xf borderId="11" fillId="4" fontId="4" numFmtId="166" xfId="0" applyAlignment="1" applyBorder="1" applyFont="1" applyNumberFormat="1">
      <alignment horizontal="center"/>
    </xf>
    <xf borderId="1" fillId="2" fontId="11" numFmtId="0" xfId="0" applyBorder="1" applyFont="1"/>
    <xf borderId="1" fillId="11" fontId="4" numFmtId="0" xfId="0" applyBorder="1" applyFill="1" applyFont="1"/>
    <xf borderId="14" fillId="9" fontId="4" numFmtId="10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14" fillId="3" fontId="5" numFmtId="0" xfId="0" applyAlignment="1" applyBorder="1" applyFont="1">
      <alignment horizontal="center"/>
    </xf>
    <xf borderId="4" fillId="6" fontId="4" numFmtId="0" xfId="0" applyBorder="1" applyFont="1"/>
    <xf borderId="14" fillId="4" fontId="4" numFmtId="3" xfId="0" applyAlignment="1" applyBorder="1" applyFont="1" applyNumberFormat="1">
      <alignment horizontal="center"/>
    </xf>
    <xf borderId="14" fillId="3" fontId="5" numFmtId="3" xfId="0" applyAlignment="1" applyBorder="1" applyFont="1" applyNumberFormat="1">
      <alignment horizontal="center"/>
    </xf>
    <xf borderId="31" fillId="0" fontId="4" numFmtId="0" xfId="0" applyBorder="1" applyFont="1"/>
    <xf borderId="8" fillId="0" fontId="1" numFmtId="0" xfId="0" applyBorder="1" applyFont="1"/>
    <xf borderId="2" fillId="3" fontId="4" numFmtId="178" xfId="0" applyAlignment="1" applyBorder="1" applyFont="1" applyNumberFormat="1">
      <alignment horizontal="center"/>
    </xf>
    <xf borderId="29" fillId="0" fontId="4" numFmtId="0" xfId="0" applyBorder="1" applyFont="1"/>
    <xf borderId="28" fillId="2" fontId="20" numFmtId="2" xfId="0" applyAlignment="1" applyBorder="1" applyFont="1" applyNumberFormat="1">
      <alignment horizontal="center"/>
    </xf>
    <xf borderId="1" fillId="2" fontId="20" numFmtId="2" xfId="0" applyAlignment="1" applyBorder="1" applyFont="1" applyNumberFormat="1">
      <alignment horizontal="center"/>
    </xf>
    <xf borderId="4" fillId="2" fontId="20" numFmtId="2" xfId="0" applyAlignment="1" applyBorder="1" applyFont="1" applyNumberFormat="1">
      <alignment horizontal="center"/>
    </xf>
    <xf borderId="10" fillId="2" fontId="20" numFmtId="2" xfId="0" applyBorder="1" applyFont="1" applyNumberFormat="1"/>
    <xf borderId="28" fillId="4" fontId="4" numFmtId="2" xfId="0" applyAlignment="1" applyBorder="1" applyFont="1" applyNumberFormat="1">
      <alignment horizontal="center"/>
    </xf>
    <xf borderId="1" fillId="3" fontId="5" numFmtId="1" xfId="0" applyAlignment="1" applyBorder="1" applyFont="1" applyNumberFormat="1">
      <alignment horizontal="center"/>
    </xf>
    <xf borderId="1" fillId="4" fontId="4" numFmtId="2" xfId="0" applyAlignment="1" applyBorder="1" applyFont="1" applyNumberFormat="1">
      <alignment horizontal="center"/>
    </xf>
    <xf borderId="1" fillId="4" fontId="4" numFmtId="1" xfId="0" applyAlignment="1" applyBorder="1" applyFont="1" applyNumberFormat="1">
      <alignment horizontal="center"/>
    </xf>
    <xf borderId="10" fillId="4" fontId="4" numFmtId="1" xfId="0" applyAlignment="1" applyBorder="1" applyFont="1" applyNumberFormat="1">
      <alignment horizontal="right"/>
    </xf>
    <xf borderId="28" fillId="4" fontId="4" numFmtId="1" xfId="0" applyAlignment="1" applyBorder="1" applyFont="1" applyNumberFormat="1">
      <alignment horizontal="center"/>
    </xf>
    <xf borderId="16" fillId="0" fontId="21" numFmtId="0" xfId="0" applyBorder="1" applyFont="1"/>
    <xf borderId="0" fillId="0" fontId="21" numFmtId="0" xfId="0" applyFont="1"/>
    <xf borderId="27" fillId="0" fontId="21" numFmtId="0" xfId="0" applyBorder="1" applyFont="1"/>
    <xf borderId="27" fillId="0" fontId="4" numFmtId="0" xfId="0" applyBorder="1" applyFont="1"/>
    <xf borderId="28" fillId="2" fontId="22" numFmtId="0" xfId="0" applyBorder="1" applyFont="1"/>
    <xf borderId="1" fillId="2" fontId="22" numFmtId="0" xfId="0" applyAlignment="1" applyBorder="1" applyFont="1">
      <alignment horizontal="center"/>
    </xf>
    <xf borderId="0" fillId="0" fontId="23" numFmtId="0" xfId="0" applyFont="1"/>
    <xf borderId="27" fillId="0" fontId="24" numFmtId="0" xfId="0" applyBorder="1" applyFont="1"/>
    <xf borderId="16" fillId="0" fontId="25" numFmtId="0" xfId="0" applyBorder="1" applyFont="1"/>
    <xf borderId="1" fillId="4" fontId="4" numFmtId="3" xfId="0" applyAlignment="1" applyBorder="1" applyFont="1" applyNumberFormat="1">
      <alignment horizontal="center"/>
    </xf>
    <xf borderId="0" fillId="0" fontId="26" numFmtId="0" xfId="0" applyFont="1"/>
    <xf borderId="27" fillId="0" fontId="26" numFmtId="0" xfId="0" applyBorder="1" applyFont="1"/>
    <xf borderId="1" fillId="4" fontId="4" numFmtId="10" xfId="0" applyAlignment="1" applyBorder="1" applyFont="1" applyNumberFormat="1">
      <alignment horizontal="center"/>
    </xf>
    <xf borderId="32" fillId="0" fontId="25" numFmtId="0" xfId="0" applyBorder="1" applyFont="1"/>
    <xf borderId="18" fillId="4" fontId="4" numFmtId="3" xfId="0" applyAlignment="1" applyBorder="1" applyFont="1" applyNumberFormat="1">
      <alignment horizontal="center"/>
    </xf>
    <xf borderId="20" fillId="0" fontId="26" numFmtId="0" xfId="0" applyBorder="1" applyFont="1"/>
    <xf borderId="33" fillId="0" fontId="26" numFmtId="0" xfId="0" applyBorder="1" applyFont="1"/>
    <xf borderId="0" fillId="0" fontId="25" numFmtId="0" xfId="0" applyFont="1"/>
    <xf borderId="0" fillId="0" fontId="4" numFmtId="3" xfId="0" applyAlignment="1" applyFont="1" applyNumberFormat="1">
      <alignment horizontal="center"/>
    </xf>
    <xf borderId="4" fillId="2" fontId="11" numFmtId="0" xfId="0" applyBorder="1" applyFont="1"/>
    <xf borderId="34" fillId="0" fontId="6" numFmtId="0" xfId="0" applyBorder="1" applyFont="1"/>
    <xf borderId="1" fillId="4" fontId="4" numFmtId="3" xfId="0" applyBorder="1" applyFont="1" applyNumberFormat="1"/>
    <xf quotePrefix="1" borderId="0" fillId="0" fontId="4" numFmtId="0" xfId="0" applyFont="1"/>
    <xf borderId="0" fillId="0" fontId="27" numFmtId="0" xfId="0" applyAlignment="1" applyFont="1">
      <alignment horizontal="center"/>
    </xf>
    <xf borderId="11" fillId="4" fontId="4" numFmtId="167" xfId="0" applyAlignment="1" applyBorder="1" applyFont="1" applyNumberFormat="1">
      <alignment horizontal="center"/>
    </xf>
    <xf borderId="35" fillId="11" fontId="4" numFmtId="4" xfId="0" applyBorder="1" applyFont="1" applyNumberFormat="1"/>
    <xf borderId="0" fillId="0" fontId="5" numFmtId="10" xfId="0" applyAlignment="1" applyFont="1" applyNumberFormat="1">
      <alignment horizontal="center"/>
    </xf>
    <xf borderId="1" fillId="12" fontId="4" numFmtId="0" xfId="0" applyBorder="1" applyFill="1" applyFont="1"/>
    <xf borderId="0" fillId="0" fontId="5" numFmtId="3" xfId="0" applyFont="1" applyNumberFormat="1"/>
    <xf borderId="1" fillId="3" fontId="5" numFmtId="10" xfId="0" applyAlignment="1" applyBorder="1" applyFont="1" applyNumberFormat="1">
      <alignment horizontal="center"/>
    </xf>
    <xf borderId="0" fillId="0" fontId="9" numFmtId="0" xfId="0" applyFont="1"/>
    <xf borderId="0" fillId="0" fontId="9" numFmtId="3" xfId="0" applyFont="1" applyNumberFormat="1"/>
    <xf borderId="1" fillId="4" fontId="9" numFmtId="10" xfId="0" applyAlignment="1" applyBorder="1" applyFont="1" applyNumberFormat="1">
      <alignment horizontal="center"/>
    </xf>
    <xf borderId="1" fillId="4" fontId="9" numFmtId="3" xfId="0" applyAlignment="1" applyBorder="1" applyFont="1" applyNumberFormat="1">
      <alignment horizontal="center"/>
    </xf>
    <xf borderId="1" fillId="4" fontId="9" numFmtId="167" xfId="0" applyAlignment="1" applyBorder="1" applyFont="1" applyNumberFormat="1">
      <alignment horizontal="right"/>
    </xf>
    <xf borderId="0" fillId="0" fontId="10" numFmtId="0" xfId="0" applyFont="1"/>
    <xf borderId="20" fillId="0" fontId="9" numFmtId="3" xfId="0" applyBorder="1" applyFont="1" applyNumberFormat="1"/>
    <xf borderId="0" fillId="0" fontId="4" numFmtId="3" xfId="0" applyFont="1" applyNumberFormat="1"/>
    <xf borderId="36" fillId="0" fontId="4" numFmtId="3" xfId="0" applyBorder="1" applyFont="1" applyNumberFormat="1"/>
    <xf borderId="1" fillId="11" fontId="1" numFmtId="0" xfId="0" applyAlignment="1" applyBorder="1" applyFont="1">
      <alignment horizontal="left"/>
    </xf>
    <xf borderId="1" fillId="3" fontId="5" numFmtId="3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4" fillId="3" fontId="4" numFmtId="3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1" fillId="13" fontId="2" numFmtId="0" xfId="0" applyAlignment="1" applyBorder="1" applyFill="1" applyFont="1">
      <alignment vertical="center"/>
    </xf>
    <xf borderId="14" fillId="0" fontId="28" numFmtId="0" xfId="0" applyAlignment="1" applyBorder="1" applyFont="1">
      <alignment horizontal="center" vertical="center"/>
    </xf>
    <xf borderId="11" fillId="3" fontId="5" numFmtId="179" xfId="0" applyAlignment="1" applyBorder="1" applyFont="1" applyNumberFormat="1">
      <alignment horizontal="center" readingOrder="0"/>
    </xf>
    <xf borderId="11" fillId="0" fontId="4" numFmtId="0" xfId="0" applyAlignment="1" applyBorder="1" applyFont="1">
      <alignment horizontal="center"/>
    </xf>
    <xf borderId="37" fillId="11" fontId="3" numFmtId="0" xfId="0" applyAlignment="1" applyBorder="1" applyFont="1">
      <alignment horizontal="center" vertical="center"/>
    </xf>
    <xf borderId="11" fillId="4" fontId="4" numFmtId="10" xfId="0" applyAlignment="1" applyBorder="1" applyFont="1" applyNumberFormat="1">
      <alignment horizontal="center" vertical="center"/>
    </xf>
    <xf borderId="11" fillId="4" fontId="1" numFmtId="10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2" fontId="29" numFmtId="0" xfId="0" applyBorder="1" applyFont="1"/>
    <xf borderId="1" fillId="2" fontId="11" numFmtId="0" xfId="0" applyAlignment="1" applyBorder="1" applyFont="1">
      <alignment horizontal="center"/>
    </xf>
    <xf borderId="0" fillId="0" fontId="30" numFmtId="0" xfId="0" applyFont="1"/>
    <xf borderId="0" fillId="0" fontId="1" numFmtId="10" xfId="0" applyAlignment="1" applyFont="1" applyNumberFormat="1">
      <alignment horizontal="center"/>
    </xf>
    <xf borderId="1" fillId="7" fontId="1" numFmtId="0" xfId="0" applyBorder="1" applyFont="1"/>
    <xf borderId="0" fillId="0" fontId="5" numFmtId="0" xfId="0" applyFont="1"/>
    <xf borderId="0" fillId="0" fontId="1" numFmtId="3" xfId="0" applyAlignment="1" applyFont="1" applyNumberFormat="1">
      <alignment horizontal="center"/>
    </xf>
    <xf borderId="20" fillId="0" fontId="4" numFmtId="3" xfId="0" applyAlignment="1" applyBorder="1" applyFont="1" applyNumberFormat="1">
      <alignment horizontal="center"/>
    </xf>
    <xf borderId="0" fillId="0" fontId="3" numFmtId="0" xfId="0" applyFont="1"/>
    <xf borderId="1" fillId="3" fontId="31" numFmtId="10" xfId="0" applyAlignment="1" applyBorder="1" applyFont="1" applyNumberFormat="1">
      <alignment horizontal="center"/>
    </xf>
    <xf borderId="1" fillId="4" fontId="3" numFmtId="10" xfId="0" applyAlignment="1" applyBorder="1" applyFont="1" applyNumberFormat="1">
      <alignment horizontal="center"/>
    </xf>
    <xf borderId="8" fillId="0" fontId="3" numFmtId="0" xfId="0" applyBorder="1" applyFont="1"/>
    <xf borderId="8" fillId="0" fontId="4" numFmtId="10" xfId="0" applyAlignment="1" applyBorder="1" applyFont="1" applyNumberFormat="1">
      <alignment horizontal="center"/>
    </xf>
    <xf borderId="12" fillId="4" fontId="3" numFmtId="10" xfId="0" applyAlignment="1" applyBorder="1" applyFont="1" applyNumberFormat="1">
      <alignment horizontal="center"/>
    </xf>
    <xf borderId="1" fillId="7" fontId="4" numFmtId="0" xfId="0" applyAlignment="1" applyBorder="1" applyFont="1">
      <alignment horizontal="center"/>
    </xf>
    <xf borderId="0" fillId="0" fontId="5" numFmtId="10" xfId="0" applyAlignment="1" applyFont="1" applyNumberFormat="1">
      <alignment horizontal="left"/>
    </xf>
    <xf borderId="0" fillId="0" fontId="5" numFmtId="3" xfId="0" applyAlignment="1" applyFont="1" applyNumberFormat="1">
      <alignment horizontal="left"/>
    </xf>
    <xf borderId="1" fillId="7" fontId="4" numFmtId="10" xfId="0" applyAlignment="1" applyBorder="1" applyFont="1" applyNumberFormat="1">
      <alignment horizontal="center"/>
    </xf>
    <xf borderId="18" fillId="3" fontId="5" numFmtId="10" xfId="0" applyAlignment="1" applyBorder="1" applyFont="1" applyNumberFormat="1">
      <alignment horizontal="center"/>
    </xf>
    <xf borderId="18" fillId="4" fontId="4" numFmtId="10" xfId="0" applyAlignment="1" applyBorder="1" applyFont="1" applyNumberFormat="1">
      <alignment horizontal="center"/>
    </xf>
    <xf borderId="12" fillId="4" fontId="4" numFmtId="3" xfId="0" applyAlignment="1" applyBorder="1" applyFont="1" applyNumberFormat="1">
      <alignment horizontal="center"/>
    </xf>
    <xf borderId="0" fillId="0" fontId="5" numFmtId="3" xfId="0" applyAlignment="1" applyFont="1" applyNumberFormat="1">
      <alignment horizontal="center"/>
    </xf>
    <xf borderId="0" fillId="0" fontId="32" numFmtId="10" xfId="0" applyAlignment="1" applyFont="1" applyNumberFormat="1">
      <alignment horizontal="center"/>
    </xf>
    <xf borderId="1" fillId="7" fontId="4" numFmtId="3" xfId="0" applyAlignment="1" applyBorder="1" applyFont="1" applyNumberFormat="1">
      <alignment horizontal="center"/>
    </xf>
    <xf borderId="38" fillId="0" fontId="4" numFmtId="0" xfId="0" applyBorder="1" applyFont="1"/>
    <xf borderId="39" fillId="7" fontId="4" numFmtId="3" xfId="0" applyAlignment="1" applyBorder="1" applyFont="1" applyNumberFormat="1">
      <alignment horizontal="center"/>
    </xf>
    <xf borderId="39" fillId="4" fontId="4" numFmtId="3" xfId="0" applyAlignment="1" applyBorder="1" applyFont="1" applyNumberFormat="1">
      <alignment horizontal="center"/>
    </xf>
    <xf borderId="36" fillId="0" fontId="9" numFmtId="0" xfId="0" applyAlignment="1" applyBorder="1" applyFont="1">
      <alignment horizontal="right"/>
    </xf>
    <xf borderId="35" fillId="7" fontId="4" numFmtId="0" xfId="0" applyAlignment="1" applyBorder="1" applyFont="1">
      <alignment horizontal="center"/>
    </xf>
    <xf borderId="35" fillId="4" fontId="4" numFmtId="10" xfId="0" applyAlignment="1" applyBorder="1" applyFont="1" applyNumberFormat="1">
      <alignment horizontal="center"/>
    </xf>
    <xf borderId="18" fillId="7" fontId="4" numFmtId="0" xfId="0" applyAlignment="1" applyBorder="1" applyFont="1">
      <alignment horizontal="center"/>
    </xf>
    <xf borderId="0" fillId="0" fontId="33" numFmtId="0" xfId="0" applyFont="1"/>
    <xf borderId="0" fillId="0" fontId="34" numFmtId="0" xfId="0" applyFont="1"/>
    <xf borderId="8" fillId="0" fontId="4" numFmtId="3" xfId="0" applyAlignment="1" applyBorder="1" applyFont="1" applyNumberFormat="1">
      <alignment horizontal="center"/>
    </xf>
    <xf borderId="0" fillId="0" fontId="9" numFmtId="10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10" numFmtId="10" xfId="0" applyAlignment="1" applyFont="1" applyNumberFormat="1">
      <alignment horizontal="left" vertical="center"/>
    </xf>
    <xf borderId="17" fillId="0" fontId="4" numFmtId="3" xfId="0" applyAlignment="1" applyBorder="1" applyFont="1" applyNumberFormat="1">
      <alignment horizontal="center"/>
    </xf>
    <xf borderId="40" fillId="4" fontId="4" numFmtId="3" xfId="0" applyAlignment="1" applyBorder="1" applyFont="1" applyNumberFormat="1">
      <alignment horizontal="center"/>
    </xf>
    <xf borderId="40" fillId="4" fontId="4" numFmtId="0" xfId="0" applyAlignment="1" applyBorder="1" applyFont="1">
      <alignment horizontal="center"/>
    </xf>
    <xf borderId="0" fillId="0" fontId="27" numFmtId="0" xfId="0" applyAlignment="1" applyFont="1">
      <alignment horizontal="right"/>
    </xf>
    <xf borderId="1" fillId="4" fontId="4" numFmtId="167" xfId="0" applyAlignment="1" applyBorder="1" applyFont="1" applyNumberFormat="1">
      <alignment horizontal="center"/>
    </xf>
    <xf borderId="23" fillId="4" fontId="4" numFmtId="2" xfId="0" applyAlignment="1" applyBorder="1" applyFont="1" applyNumberFormat="1">
      <alignment horizontal="center"/>
    </xf>
    <xf borderId="23" fillId="4" fontId="4" numFmtId="0" xfId="0" applyAlignment="1" applyBorder="1" applyFont="1">
      <alignment horizontal="center"/>
    </xf>
    <xf borderId="0" fillId="0" fontId="4" numFmtId="4" xfId="0" applyFont="1" applyNumberFormat="1"/>
    <xf borderId="0" fillId="0" fontId="35" numFmtId="0" xfId="0" applyAlignment="1" applyFont="1">
      <alignment horizontal="left"/>
    </xf>
    <xf borderId="20" fillId="0" fontId="4" numFmtId="3" xfId="0" applyBorder="1" applyFont="1" applyNumberFormat="1"/>
    <xf borderId="20" fillId="0" fontId="1" numFmtId="10" xfId="0" applyAlignment="1" applyBorder="1" applyFont="1" applyNumberFormat="1">
      <alignment horizontal="center"/>
    </xf>
    <xf borderId="8" fillId="0" fontId="1" numFmtId="3" xfId="0" applyAlignment="1" applyBorder="1" applyFont="1" applyNumberFormat="1">
      <alignment horizontal="center"/>
    </xf>
    <xf borderId="8" fillId="0" fontId="1" numFmtId="4" xfId="0" applyAlignment="1" applyBorder="1" applyFont="1" applyNumberFormat="1">
      <alignment horizontal="center"/>
    </xf>
    <xf borderId="8" fillId="0" fontId="1" numFmtId="180" xfId="0" applyAlignment="1" applyBorder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80" xfId="0" applyAlignment="1" applyFont="1" applyNumberFormat="1">
      <alignment horizontal="center"/>
    </xf>
    <xf borderId="31" fillId="0" fontId="36" numFmtId="0" xfId="0" applyBorder="1" applyFont="1"/>
    <xf borderId="12" fillId="4" fontId="4" numFmtId="4" xfId="0" applyAlignment="1" applyBorder="1" applyFont="1" applyNumberFormat="1">
      <alignment horizontal="center"/>
    </xf>
    <xf borderId="13" fillId="5" fontId="4" numFmtId="4" xfId="0" applyAlignment="1" applyBorder="1" applyFont="1" applyNumberFormat="1">
      <alignment horizontal="center"/>
    </xf>
    <xf borderId="0" fillId="0" fontId="1" numFmtId="10" xfId="0" applyFont="1" applyNumberFormat="1"/>
    <xf borderId="16" fillId="0" fontId="1" numFmtId="0" xfId="0" applyBorder="1" applyFont="1"/>
    <xf borderId="27" fillId="0" fontId="1" numFmtId="0" xfId="0" applyBorder="1" applyFont="1"/>
    <xf borderId="16" fillId="0" fontId="3" numFmtId="0" xfId="0" applyAlignment="1" applyBorder="1" applyFont="1">
      <alignment horizontal="center"/>
    </xf>
    <xf borderId="1" fillId="11" fontId="3" numFmtId="4" xfId="0" applyAlignment="1" applyBorder="1" applyFont="1" applyNumberFormat="1">
      <alignment horizontal="center"/>
    </xf>
    <xf borderId="10" fillId="4" fontId="4" numFmtId="167" xfId="0" applyAlignment="1" applyBorder="1" applyFont="1" applyNumberFormat="1">
      <alignment horizontal="center"/>
    </xf>
    <xf borderId="32" fillId="0" fontId="1" numFmtId="0" xfId="0" applyBorder="1" applyFont="1"/>
    <xf borderId="20" fillId="0" fontId="27" numFmtId="0" xfId="0" applyAlignment="1" applyBorder="1" applyFont="1">
      <alignment horizontal="right"/>
    </xf>
    <xf borderId="1" fillId="2" fontId="4" numFmtId="0" xfId="0" applyBorder="1" applyFont="1"/>
    <xf borderId="0" fillId="0" fontId="19" numFmtId="0" xfId="0" applyAlignment="1" applyFont="1">
      <alignment horizontal="right"/>
    </xf>
    <xf borderId="1" fillId="4" fontId="4" numFmtId="0" xfId="0" applyAlignment="1" applyBorder="1" applyFont="1">
      <alignment horizontal="center"/>
    </xf>
    <xf borderId="0" fillId="0" fontId="19" numFmtId="0" xfId="0" applyFont="1"/>
    <xf borderId="0" fillId="0" fontId="37" numFmtId="0" xfId="0" applyFont="1"/>
    <xf borderId="0" fillId="0" fontId="19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0" fillId="0" fontId="38" numFmtId="0" xfId="0" applyFont="1"/>
    <xf borderId="1" fillId="4" fontId="1" numFmtId="10" xfId="0" applyAlignment="1" applyBorder="1" applyFont="1" applyNumberFormat="1">
      <alignment horizontal="center"/>
    </xf>
    <xf borderId="1" fillId="6" fontId="39" numFmtId="0" xfId="0" applyAlignment="1" applyBorder="1" applyFont="1">
      <alignment horizontal="left"/>
    </xf>
    <xf borderId="1" fillId="13" fontId="2" numFmtId="0" xfId="0" applyBorder="1" applyFont="1"/>
    <xf borderId="0" fillId="0" fontId="11" numFmtId="10" xfId="0" applyFont="1" applyNumberFormat="1"/>
    <xf borderId="0" fillId="0" fontId="19" numFmtId="1" xfId="0" applyAlignment="1" applyFont="1" applyNumberFormat="1">
      <alignment horizontal="center"/>
    </xf>
    <xf borderId="0" fillId="0" fontId="19" numFmtId="10" xfId="0" applyFont="1" applyNumberFormat="1"/>
    <xf borderId="16" fillId="0" fontId="8" numFmtId="0" xfId="0" applyBorder="1" applyFont="1"/>
    <xf borderId="27" fillId="0" fontId="19" numFmtId="0" xfId="0" applyBorder="1" applyFont="1"/>
    <xf borderId="16" fillId="0" fontId="19" numFmtId="0" xfId="0" applyBorder="1" applyFont="1"/>
    <xf borderId="27" fillId="0" fontId="19" numFmtId="10" xfId="0" applyBorder="1" applyFont="1" applyNumberFormat="1"/>
    <xf borderId="32" fillId="0" fontId="19" numFmtId="0" xfId="0" applyBorder="1" applyFont="1"/>
    <xf borderId="20" fillId="0" fontId="19" numFmtId="0" xfId="0" applyBorder="1" applyFont="1"/>
    <xf borderId="33" fillId="0" fontId="19" numFmtId="10" xfId="0" applyBorder="1" applyFont="1" applyNumberFormat="1"/>
  </cellXfs>
  <cellStyles count="1">
    <cellStyle xfId="0" name="Normal" builtinId="0"/>
  </cellStyles>
  <dxfs count="5"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F28E85"/>
          <bgColor rgb="FFF28E85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28.25"/>
    <col customWidth="1" min="3" max="6" width="13.88"/>
    <col customWidth="1" min="7" max="7" width="14.75"/>
    <col customWidth="1" min="9" max="9" width="40.13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B2" s="2" t="s">
        <v>0</v>
      </c>
      <c r="C2" s="3" t="str">
        <f>C3&amp;" : "&amp;C4</f>
        <v>0806 : 惠里集团	</v>
      </c>
    </row>
    <row r="3" ht="15.75" customHeight="1">
      <c r="B3" s="4" t="s">
        <v>1</v>
      </c>
      <c r="C3" s="5" t="s">
        <v>2</v>
      </c>
      <c r="D3" s="6"/>
    </row>
    <row r="4" ht="15.75" customHeight="1">
      <c r="B4" s="4" t="s">
        <v>3</v>
      </c>
      <c r="C4" s="7" t="s">
        <v>4</v>
      </c>
      <c r="D4" s="8"/>
    </row>
    <row r="5" ht="15.75" customHeight="1">
      <c r="B5" s="4" t="s">
        <v>5</v>
      </c>
      <c r="C5" s="9">
        <v>44771.0</v>
      </c>
      <c r="D5" s="10"/>
      <c r="E5" s="11" t="str">
        <f>IF(C5+30&gt;=TODAY(),"-&gt; 30 days Patience Discount: 10% in effect","")</f>
        <v/>
      </c>
    </row>
    <row r="6" ht="15.75" customHeight="1">
      <c r="B6" s="12" t="s">
        <v>6</v>
      </c>
      <c r="C6" s="7" t="s">
        <v>7</v>
      </c>
      <c r="D6" s="13"/>
    </row>
    <row r="7" ht="15.75" customHeight="1">
      <c r="B7" s="4" t="s">
        <v>8</v>
      </c>
      <c r="C7" s="14">
        <v>1.91</v>
      </c>
      <c r="D7" s="15" t="s">
        <v>9</v>
      </c>
    </row>
    <row r="8" ht="15.75" customHeight="1">
      <c r="B8" s="4" t="s">
        <v>10</v>
      </c>
      <c r="C8" s="16">
        <v>1.837549831E9</v>
      </c>
      <c r="D8" s="13"/>
    </row>
    <row r="9" ht="15.75" customHeight="1">
      <c r="B9" s="4" t="s">
        <v>11</v>
      </c>
      <c r="C9" s="17">
        <f>C7*C8/1000000</f>
        <v>3509.720177</v>
      </c>
      <c r="D9" s="13"/>
      <c r="E9" s="18" t="s">
        <v>12</v>
      </c>
      <c r="F9" s="19"/>
    </row>
    <row r="10" ht="15.75" customHeight="1">
      <c r="B10" s="12" t="s">
        <v>13</v>
      </c>
      <c r="C10" s="20">
        <f>IF(Data!F3&lt;=0,"Negative Net Income",C7/((Data!F3*C14)/(C8/Data!C4)))</f>
        <v>7.666274608</v>
      </c>
      <c r="D10" s="21">
        <f>1/C10</f>
        <v>0.1304414531</v>
      </c>
      <c r="E10" s="22" t="s">
        <v>14</v>
      </c>
      <c r="F10" s="23"/>
      <c r="G10" s="24">
        <v>0.045</v>
      </c>
      <c r="H10" s="25" t="s">
        <v>15</v>
      </c>
    </row>
    <row r="11" ht="15.75" customHeight="1">
      <c r="B11" s="4" t="str">
        <f>'FCF Model'!C3&amp;"yrs PEG Ratio:"</f>
        <v>1yrs PEG Ratio:</v>
      </c>
      <c r="C11" s="26" t="str">
        <f>IF('FCF Model'!C4&lt;=0,"Negative PEG",C10/('FCF Model'!C4*100))</f>
        <v>#VALUE!</v>
      </c>
      <c r="D11" s="13"/>
      <c r="E11" s="27" t="s">
        <v>16</v>
      </c>
      <c r="F11" s="23"/>
      <c r="G11" s="28">
        <v>0.03</v>
      </c>
      <c r="H11" s="25" t="s">
        <v>17</v>
      </c>
    </row>
    <row r="12" ht="15.75" customHeight="1">
      <c r="B12" s="4" t="s">
        <v>18</v>
      </c>
      <c r="C12" s="29">
        <f>C7/(Data!C26*C14*Data!C4/Common_Shares)</f>
        <v>0.7549059738</v>
      </c>
      <c r="D12" s="30" t="str">
        <f>IF('Asset Model'!D57/'FCF Model'!C16&lt;0,"Negative EV",'Asset Model'!D57/'FCF Model'!C16)</f>
        <v>Negative EV</v>
      </c>
      <c r="E12" s="31" t="s">
        <v>19</v>
      </c>
      <c r="F12" s="23"/>
      <c r="G12" s="28">
        <f>IF(G10+G11&lt;6%,6%,G10+G11)</f>
        <v>0.075</v>
      </c>
      <c r="H12" s="32" t="s">
        <v>20</v>
      </c>
    </row>
    <row r="13" ht="15.75" customHeight="1">
      <c r="B13" s="12" t="s">
        <v>21</v>
      </c>
      <c r="C13" s="7" t="s">
        <v>9</v>
      </c>
      <c r="D13" s="13"/>
      <c r="E13" s="22" t="s">
        <v>22</v>
      </c>
      <c r="F13" s="23"/>
      <c r="G13" s="28">
        <v>0.045</v>
      </c>
      <c r="H13" s="25" t="s">
        <v>23</v>
      </c>
    </row>
    <row r="14" ht="15.75" customHeight="1">
      <c r="B14" s="33" t="s">
        <v>24</v>
      </c>
      <c r="C14" s="34">
        <v>1.0</v>
      </c>
      <c r="D14" s="35" t="str">
        <f>IF(C13=Dashboard!D7,"NA",C13&amp;Dashboard!D7)</f>
        <v>NA</v>
      </c>
      <c r="E14" s="36" t="s">
        <v>25</v>
      </c>
      <c r="F14" s="23"/>
      <c r="G14" s="28">
        <f>IF(G10+G13&lt;8%,8%,G10+G13)</f>
        <v>0.09</v>
      </c>
      <c r="H14" s="32" t="s">
        <v>26</v>
      </c>
    </row>
    <row r="15" ht="15.75" customHeight="1">
      <c r="E15" s="37"/>
    </row>
    <row r="16" ht="15.75" customHeight="1">
      <c r="B16" s="2" t="s">
        <v>27</v>
      </c>
      <c r="C16" s="38" t="s">
        <v>28</v>
      </c>
      <c r="D16" s="23"/>
      <c r="E16" s="38" t="s">
        <v>29</v>
      </c>
      <c r="F16" s="23"/>
      <c r="I16" s="4"/>
    </row>
    <row r="17" ht="15.75" customHeight="1">
      <c r="B17" s="39" t="s">
        <v>30</v>
      </c>
      <c r="C17" s="40">
        <f>'FCF Model'!C51</f>
        <v>2.4533549</v>
      </c>
      <c r="D17" s="41"/>
      <c r="E17" s="42">
        <f>'Asset Model'!D6</f>
        <v>1.949504329</v>
      </c>
      <c r="F17" s="41"/>
      <c r="G17" s="43"/>
      <c r="H17" s="44"/>
    </row>
    <row r="18" ht="15.75" customHeight="1">
      <c r="B18" s="45" t="s">
        <v>31</v>
      </c>
      <c r="C18" s="46">
        <f>'FCF Model'!F51</f>
        <v>9.847168782</v>
      </c>
      <c r="D18" s="47">
        <f>'FCF Model'!F52</f>
        <v>0.9696608742</v>
      </c>
      <c r="E18" s="46">
        <f>'Asset Model'!H5</f>
        <v>7.824835359</v>
      </c>
      <c r="F18" s="47">
        <f>'Asset Model'!H6</f>
        <v>0.7705196146</v>
      </c>
    </row>
    <row r="19" ht="15.75" customHeight="1">
      <c r="B19" s="48"/>
      <c r="C19" s="49"/>
      <c r="D19" s="49"/>
      <c r="E19" s="49"/>
      <c r="F19" s="49"/>
    </row>
    <row r="20" ht="15.75" customHeight="1">
      <c r="B20" s="2" t="s">
        <v>32</v>
      </c>
      <c r="C20" s="33"/>
      <c r="D20" s="50"/>
    </row>
    <row r="21" ht="15.75" customHeight="1">
      <c r="B21" s="51" t="s">
        <v>33</v>
      </c>
      <c r="C21" s="52">
        <v>1.98</v>
      </c>
      <c r="D21" s="10"/>
      <c r="E21" s="53" t="s">
        <v>34</v>
      </c>
      <c r="F21" s="54">
        <f>(Data!F4*Data!C4/Common_Shares)/C21</f>
        <v>0.04838891656</v>
      </c>
      <c r="G21" s="27" t="s">
        <v>35</v>
      </c>
      <c r="H21" s="54">
        <f>C21/E17-1</f>
        <v>0.01564278197</v>
      </c>
    </row>
    <row r="22" ht="15.75" customHeight="1">
      <c r="A22" s="1"/>
      <c r="B22" s="55" t="s">
        <v>31</v>
      </c>
      <c r="C22" s="46">
        <f>IF(Data!F3&lt;=0,"NNI",C21/((Data!F3*C14)/(C8/Data!C4)))</f>
        <v>7.947237552</v>
      </c>
      <c r="D22" s="47">
        <f>C21/(Data!C26*C14*Data!C4/Common_Shares)</f>
        <v>0.7825726849</v>
      </c>
      <c r="E22" s="53" t="s">
        <v>36</v>
      </c>
      <c r="F22" s="54">
        <f>1/C22</f>
        <v>0.1258298866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B23" s="56" t="s">
        <v>37</v>
      </c>
      <c r="C23" s="57" t="s">
        <v>38</v>
      </c>
      <c r="D23" s="58">
        <f>IF(C17&lt;=0,100%,-(C17-C21)/C17)</f>
        <v>-0.1929418772</v>
      </c>
      <c r="E23" s="57" t="s">
        <v>39</v>
      </c>
      <c r="F23" s="58">
        <f>-D23-H23</f>
        <v>0.006595459883</v>
      </c>
      <c r="G23" s="59" t="s">
        <v>40</v>
      </c>
      <c r="H23" s="28">
        <f>IF(E5="",10%,20%)+(15%*(1-'Qualitative Analysis'!E58))+(15%*H21)</f>
        <v>0.1863464173</v>
      </c>
    </row>
    <row r="24" ht="15.75" customHeight="1"/>
    <row r="25" ht="15.75" customHeight="1">
      <c r="B25" s="2" t="s">
        <v>41</v>
      </c>
      <c r="C25" s="4"/>
    </row>
    <row r="26" ht="15.75" customHeight="1">
      <c r="B26" s="60" t="s">
        <v>42</v>
      </c>
      <c r="C26" s="61" t="s">
        <v>43</v>
      </c>
      <c r="D26" s="62"/>
      <c r="E26" s="62"/>
      <c r="F26" s="62"/>
      <c r="G26" s="62"/>
      <c r="H26" s="62"/>
      <c r="I26" s="23"/>
    </row>
    <row r="27" ht="52.5" customHeight="1">
      <c r="B27" s="63" t="s">
        <v>44</v>
      </c>
      <c r="C27" s="64" t="s">
        <v>45</v>
      </c>
      <c r="D27" s="65"/>
      <c r="E27" s="65"/>
      <c r="F27" s="41"/>
      <c r="G27" s="64" t="s">
        <v>46</v>
      </c>
      <c r="H27" s="65"/>
      <c r="I27" s="41"/>
    </row>
    <row r="28" ht="52.5" customHeight="1">
      <c r="B28" s="60" t="s">
        <v>47</v>
      </c>
      <c r="C28" s="66" t="s">
        <v>48</v>
      </c>
      <c r="D28" s="62"/>
      <c r="E28" s="62"/>
      <c r="F28" s="23"/>
      <c r="G28" s="66" t="s">
        <v>49</v>
      </c>
      <c r="H28" s="62"/>
      <c r="I28" s="23"/>
    </row>
    <row r="29" ht="15.75" customHeight="1">
      <c r="F29" s="37"/>
    </row>
    <row r="30" ht="15.75" customHeight="1">
      <c r="B30" s="2" t="s">
        <v>50</v>
      </c>
      <c r="C30" s="67" t="s">
        <v>51</v>
      </c>
      <c r="D30" s="68">
        <v>700000.0</v>
      </c>
      <c r="F30" s="69"/>
    </row>
    <row r="31" ht="15.75" customHeight="1">
      <c r="B31" s="67" t="s">
        <v>52</v>
      </c>
      <c r="C31" s="70">
        <v>44419.0</v>
      </c>
      <c r="D31" s="8"/>
      <c r="E31" s="71"/>
      <c r="F31" s="8"/>
      <c r="G31" s="71"/>
      <c r="H31" s="8"/>
      <c r="I31" s="72" t="s">
        <v>53</v>
      </c>
    </row>
    <row r="32" ht="15.75" customHeight="1">
      <c r="B32" s="67" t="s">
        <v>54</v>
      </c>
      <c r="C32" s="73">
        <f>C36/D30</f>
        <v>0.1445714286</v>
      </c>
      <c r="E32" s="74">
        <f>E36/D30</f>
        <v>0.1491428571</v>
      </c>
      <c r="G32" s="75">
        <f>G36/D30</f>
        <v>0</v>
      </c>
      <c r="H32" s="76"/>
      <c r="I32" s="77">
        <f t="shared" ref="I32:I33" si="1">C32+E32+G32</f>
        <v>0.2937142857</v>
      </c>
    </row>
    <row r="33" ht="15.75" customHeight="1">
      <c r="B33" s="67" t="s">
        <v>55</v>
      </c>
      <c r="C33" s="78">
        <v>44000.0</v>
      </c>
      <c r="D33" s="8"/>
      <c r="E33" s="78">
        <v>60000.0</v>
      </c>
      <c r="F33" s="8"/>
      <c r="G33" s="78">
        <v>0.0</v>
      </c>
      <c r="H33" s="13"/>
      <c r="I33" s="79">
        <f t="shared" si="1"/>
        <v>104000</v>
      </c>
    </row>
    <row r="34" ht="15.75" customHeight="1">
      <c r="B34" s="67" t="s">
        <v>56</v>
      </c>
      <c r="C34" s="80">
        <v>2.3</v>
      </c>
      <c r="D34" s="8"/>
      <c r="E34" s="81">
        <v>1.74</v>
      </c>
      <c r="F34" s="8"/>
      <c r="G34" s="80">
        <v>0.0</v>
      </c>
      <c r="H34" s="8"/>
      <c r="I34" s="82"/>
    </row>
    <row r="35" ht="15.75" customHeight="1">
      <c r="B35" s="67" t="s">
        <v>57</v>
      </c>
      <c r="C35" s="83">
        <f>C34*$C$8/1000000</f>
        <v>4226.364611</v>
      </c>
      <c r="E35" s="83">
        <f>E34*$C$8/1000000</f>
        <v>3197.336706</v>
      </c>
      <c r="G35" s="83">
        <f>G34*$C$8/1000000</f>
        <v>0</v>
      </c>
      <c r="H35" s="76"/>
      <c r="I35" s="84"/>
    </row>
    <row r="36" ht="15.75" customHeight="1">
      <c r="B36" s="85" t="s">
        <v>58</v>
      </c>
      <c r="C36" s="86">
        <f>C33*C34</f>
        <v>101200</v>
      </c>
      <c r="D36" s="87"/>
      <c r="E36" s="86">
        <f>E33*E34</f>
        <v>104400</v>
      </c>
      <c r="F36" s="87"/>
      <c r="G36" s="86">
        <f>G33*G34</f>
        <v>0</v>
      </c>
      <c r="H36" s="88"/>
      <c r="I36" s="86">
        <f>C36+E36+G36</f>
        <v>205600</v>
      </c>
    </row>
    <row r="37" ht="15.75" customHeight="1">
      <c r="B37" s="67" t="s">
        <v>59</v>
      </c>
      <c r="C37" s="89"/>
      <c r="D37" s="8"/>
      <c r="E37" s="90">
        <f>(C36+E36)/(C33+E33)</f>
        <v>1.976923077</v>
      </c>
      <c r="G37" s="89"/>
      <c r="H37" s="13"/>
      <c r="I37" s="90">
        <f>I36/I33</f>
        <v>1.976923077</v>
      </c>
    </row>
    <row r="38" ht="15.75" customHeight="1">
      <c r="B38" s="67" t="s">
        <v>60</v>
      </c>
      <c r="C38" s="89"/>
      <c r="D38" s="8"/>
      <c r="E38" s="83">
        <f>E37*$C$8/1000000</f>
        <v>3632.694666</v>
      </c>
      <c r="G38" s="89"/>
      <c r="H38" s="13"/>
      <c r="I38" s="83">
        <f>I37*$C$8/1000000</f>
        <v>3632.694666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8">
    <mergeCell ref="C2:D2"/>
    <mergeCell ref="C3:D3"/>
    <mergeCell ref="C4:D4"/>
    <mergeCell ref="C5:D5"/>
    <mergeCell ref="C6:D6"/>
    <mergeCell ref="C8:D8"/>
    <mergeCell ref="E10:F10"/>
    <mergeCell ref="C27:F27"/>
    <mergeCell ref="G27:I27"/>
    <mergeCell ref="C28:F28"/>
    <mergeCell ref="G28:I28"/>
    <mergeCell ref="E31:F31"/>
    <mergeCell ref="G31:H31"/>
    <mergeCell ref="E32:F32"/>
    <mergeCell ref="G32:H32"/>
    <mergeCell ref="E11:F11"/>
    <mergeCell ref="E12:F12"/>
    <mergeCell ref="E13:F13"/>
    <mergeCell ref="E14:F14"/>
    <mergeCell ref="E16:F16"/>
    <mergeCell ref="E17:F17"/>
    <mergeCell ref="C26:I26"/>
    <mergeCell ref="C32:D32"/>
    <mergeCell ref="C33:D33"/>
    <mergeCell ref="E33:F33"/>
    <mergeCell ref="G33:H33"/>
    <mergeCell ref="E34:F34"/>
    <mergeCell ref="G34:H34"/>
    <mergeCell ref="C9:D9"/>
    <mergeCell ref="C11:D11"/>
    <mergeCell ref="C13:D13"/>
    <mergeCell ref="C16:D16"/>
    <mergeCell ref="C17:D17"/>
    <mergeCell ref="C21:D21"/>
    <mergeCell ref="C31:D31"/>
    <mergeCell ref="C37:D37"/>
    <mergeCell ref="E37:F37"/>
    <mergeCell ref="G37:H37"/>
    <mergeCell ref="C38:D38"/>
    <mergeCell ref="E38:F38"/>
    <mergeCell ref="G38:H38"/>
    <mergeCell ref="C34:D34"/>
    <mergeCell ref="C35:D35"/>
    <mergeCell ref="E35:F35"/>
    <mergeCell ref="G35:H35"/>
    <mergeCell ref="C36:D36"/>
    <mergeCell ref="E36:F36"/>
    <mergeCell ref="G36:H36"/>
  </mergeCells>
  <conditionalFormatting sqref="F23">
    <cfRule type="cellIs" dxfId="0" priority="1" operator="lessThan">
      <formula>0</formula>
    </cfRule>
  </conditionalFormatting>
  <conditionalFormatting sqref="F21">
    <cfRule type="cellIs" dxfId="1" priority="2" operator="lessThan">
      <formula>$G$10</formula>
    </cfRule>
  </conditionalFormatting>
  <dataValidations>
    <dataValidation type="list" allowBlank="1" sqref="C6">
      <formula1>"HK,US:NASDAQ,CN"</formula1>
    </dataValidation>
    <dataValidation type="list" allowBlank="1" sqref="C13">
      <formula1>"HKD,USD,CNY,EUR"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26.63"/>
    <col customWidth="1" min="3" max="4" width="17.63"/>
    <col customWidth="1" min="5" max="5" width="20.88"/>
    <col customWidth="1" min="6" max="13" width="17.63"/>
  </cols>
  <sheetData>
    <row r="1" ht="8.25" customHeight="1">
      <c r="A1" s="91"/>
      <c r="B1" s="92"/>
      <c r="C1" s="93"/>
      <c r="D1" s="93"/>
      <c r="E1" s="93"/>
      <c r="F1" s="93"/>
    </row>
    <row r="2" ht="15.75" customHeight="1">
      <c r="A2" s="91"/>
      <c r="B2" s="94" t="s">
        <v>61</v>
      </c>
      <c r="C2" s="95"/>
      <c r="D2" s="95"/>
      <c r="E2" s="95"/>
      <c r="F2" s="95"/>
    </row>
    <row r="3" ht="15.75" customHeight="1">
      <c r="A3" s="37"/>
      <c r="B3" s="4" t="s">
        <v>62</v>
      </c>
      <c r="C3" s="96">
        <v>2021.0</v>
      </c>
      <c r="E3" s="97">
        <v>1.0</v>
      </c>
      <c r="F3" s="98">
        <f t="array" ref="F3">AVERAGE(C19:INDEX(C19:M19,1,E3))</f>
        <v>457813</v>
      </c>
      <c r="H3" s="4" t="str">
        <f>"Past "&amp;'FCF Model'!C3&amp;" yrs Revenue CAGR"</f>
        <v>Past 1 yrs Revenue CAGR</v>
      </c>
      <c r="J3" s="99" t="str">
        <f t="array" ref="J3">(C7/INDEX(C7:L7,0,'FCF Model'!C3))^(1/('FCF Model'!C3-1))-1</f>
        <v>#DIV/0!</v>
      </c>
    </row>
    <row r="4" ht="15.75" customHeight="1">
      <c r="A4" s="37"/>
      <c r="B4" s="4" t="s">
        <v>63</v>
      </c>
      <c r="C4" s="100">
        <v>1000.0</v>
      </c>
      <c r="E4" s="101">
        <f>E3</f>
        <v>1</v>
      </c>
      <c r="F4" s="98">
        <f t="array" ref="F4">AVERAGE(C16:INDEX(C16:M16,1,E4))</f>
        <v>176055.75</v>
      </c>
      <c r="H4" s="1" t="str">
        <f>"Past "&amp;'FCF Model'!C3&amp;" yrs EBIT CAGR"</f>
        <v>Past 1 yrs EBIT CAGR</v>
      </c>
      <c r="J4" s="99" t="str">
        <f t="array" ref="J4">IFERROR((C14/INDEX(C14:L14,0,'FCF Model'!C3))^(1/('FCF Model'!C3-1))-1,"NA")</f>
        <v>NA</v>
      </c>
    </row>
    <row r="5" ht="15.75" customHeight="1">
      <c r="A5" s="37"/>
    </row>
    <row r="6" ht="15.75" customHeight="1">
      <c r="A6" s="37"/>
      <c r="B6" s="102"/>
      <c r="C6" s="103" t="str">
        <f>"FY "&amp;$C$3</f>
        <v>FY 2021</v>
      </c>
      <c r="D6" s="103" t="str">
        <f>"FY "&amp;$C$3-1</f>
        <v>FY 2020</v>
      </c>
      <c r="E6" s="103" t="str">
        <f>"FY "&amp;$C$3-2</f>
        <v>FY 2019</v>
      </c>
      <c r="F6" s="103" t="str">
        <f>"FY "&amp;$C$3-3</f>
        <v>FY 2018</v>
      </c>
      <c r="G6" s="103" t="str">
        <f>"FY "&amp;$C$3-4</f>
        <v>FY 2017</v>
      </c>
      <c r="H6" s="103" t="str">
        <f>"FY "&amp;$C$3-5</f>
        <v>FY 2016</v>
      </c>
      <c r="I6" s="103" t="str">
        <f>"FY "&amp;$C$3-6</f>
        <v>FY 2015</v>
      </c>
      <c r="J6" s="103" t="str">
        <f>"FY "&amp;$C$3-7</f>
        <v>FY 2014</v>
      </c>
      <c r="K6" s="103" t="str">
        <f>"FY "&amp;$C$3-8</f>
        <v>FY 2013</v>
      </c>
      <c r="L6" s="103" t="str">
        <f>"FY "&amp;$C$3-9</f>
        <v>FY 2012</v>
      </c>
      <c r="M6" s="103" t="str">
        <f>"FY "&amp;$C$3-10</f>
        <v>FY 2011</v>
      </c>
    </row>
    <row r="7" ht="15.75" customHeight="1">
      <c r="A7" s="37"/>
      <c r="B7" s="104" t="s">
        <v>64</v>
      </c>
      <c r="C7" s="100">
        <v>1281649.0</v>
      </c>
      <c r="D7" s="100">
        <v>2561449.0</v>
      </c>
      <c r="E7" s="100">
        <v>1603618.0</v>
      </c>
      <c r="F7" s="100">
        <v>1641365.0</v>
      </c>
      <c r="G7" s="100">
        <v>4105950.0</v>
      </c>
      <c r="H7" s="100">
        <v>1398604.0</v>
      </c>
      <c r="I7" s="100">
        <v>1768257.0</v>
      </c>
      <c r="J7" s="100">
        <v>1599445.0</v>
      </c>
      <c r="K7" s="100">
        <v>1027581.0</v>
      </c>
      <c r="L7" s="100">
        <v>651576.0</v>
      </c>
      <c r="M7" s="100"/>
    </row>
    <row r="8" ht="15.75" customHeight="1">
      <c r="A8" s="37"/>
      <c r="B8" s="104" t="s">
        <v>65</v>
      </c>
      <c r="C8" s="28">
        <f t="shared" ref="C8:L8" si="1">IF(D7="","",C7/D7-1)</f>
        <v>-0.4996390715</v>
      </c>
      <c r="D8" s="28">
        <f t="shared" si="1"/>
        <v>0.5972937445</v>
      </c>
      <c r="E8" s="28">
        <f t="shared" si="1"/>
        <v>-0.02299732235</v>
      </c>
      <c r="F8" s="28">
        <f t="shared" si="1"/>
        <v>-0.6002472022</v>
      </c>
      <c r="G8" s="28">
        <f t="shared" si="1"/>
        <v>1.93574879</v>
      </c>
      <c r="H8" s="28">
        <f t="shared" si="1"/>
        <v>-0.2090493633</v>
      </c>
      <c r="I8" s="28">
        <f t="shared" si="1"/>
        <v>0.1055441106</v>
      </c>
      <c r="J8" s="28">
        <f t="shared" si="1"/>
        <v>0.5565147662</v>
      </c>
      <c r="K8" s="28">
        <f t="shared" si="1"/>
        <v>0.5770700578</v>
      </c>
      <c r="L8" s="28" t="str">
        <f t="shared" si="1"/>
        <v/>
      </c>
      <c r="M8" s="105"/>
    </row>
    <row r="9" ht="15.75" customHeight="1">
      <c r="A9" s="37"/>
      <c r="B9" s="104" t="s">
        <v>66</v>
      </c>
      <c r="C9" s="100">
        <f>526235+389543</f>
        <v>915778</v>
      </c>
      <c r="D9" s="100">
        <f>510820+672911</f>
        <v>1183731</v>
      </c>
      <c r="E9" s="100">
        <f>807946+400167</f>
        <v>1208113</v>
      </c>
      <c r="F9" s="100">
        <f>810936+379228</f>
        <v>1190164</v>
      </c>
      <c r="G9" s="100">
        <f>846092+953971</f>
        <v>1800063</v>
      </c>
      <c r="H9" s="100">
        <f>770282+348370</f>
        <v>1118652</v>
      </c>
      <c r="I9" s="100">
        <f>693455+444847</f>
        <v>1138302</v>
      </c>
      <c r="J9" s="100">
        <f>370439+402514</f>
        <v>772953</v>
      </c>
      <c r="K9" s="100">
        <f>252583+267725</f>
        <v>520308</v>
      </c>
      <c r="L9" s="100">
        <f>178965+197052</f>
        <v>376017</v>
      </c>
      <c r="M9" s="100"/>
    </row>
    <row r="10" ht="15.75" customHeight="1">
      <c r="A10" s="37"/>
      <c r="B10" s="104" t="s">
        <v>67</v>
      </c>
      <c r="C10" s="28">
        <f t="shared" ref="C10:M10" si="2">IF(C7="","",(C7-C9)/C7)</f>
        <v>0.2854689544</v>
      </c>
      <c r="D10" s="28">
        <f t="shared" si="2"/>
        <v>0.5378666528</v>
      </c>
      <c r="E10" s="28">
        <f t="shared" si="2"/>
        <v>0.2466329263</v>
      </c>
      <c r="F10" s="28">
        <f t="shared" si="2"/>
        <v>0.2748937622</v>
      </c>
      <c r="G10" s="28">
        <f t="shared" si="2"/>
        <v>0.5615964637</v>
      </c>
      <c r="H10" s="28">
        <f t="shared" si="2"/>
        <v>0.2001653077</v>
      </c>
      <c r="I10" s="28">
        <f t="shared" si="2"/>
        <v>0.3562576028</v>
      </c>
      <c r="J10" s="28">
        <f t="shared" si="2"/>
        <v>0.5167367431</v>
      </c>
      <c r="K10" s="28">
        <f t="shared" si="2"/>
        <v>0.4936574343</v>
      </c>
      <c r="L10" s="28">
        <f t="shared" si="2"/>
        <v>0.4229115253</v>
      </c>
      <c r="M10" s="28" t="str">
        <f t="shared" si="2"/>
        <v/>
      </c>
    </row>
    <row r="11" ht="15.75" customHeight="1">
      <c r="A11" s="37"/>
      <c r="B11" s="104" t="s">
        <v>68</v>
      </c>
      <c r="C11" s="100">
        <f>8008+23748+99374</f>
        <v>131130</v>
      </c>
      <c r="D11" s="100">
        <f>9086+31145+111672</f>
        <v>151903</v>
      </c>
      <c r="E11" s="100">
        <f>8987+29677+113876</f>
        <v>152540</v>
      </c>
      <c r="F11" s="100">
        <f>43541+112277</f>
        <v>155818</v>
      </c>
      <c r="G11" s="100">
        <f>27799+110010</f>
        <v>137809</v>
      </c>
      <c r="H11" s="100">
        <f>27513+95782</f>
        <v>123295</v>
      </c>
      <c r="I11" s="100">
        <f>26919+124058</f>
        <v>150977</v>
      </c>
      <c r="J11" s="100">
        <f>21370+85568</f>
        <v>106938</v>
      </c>
      <c r="K11" s="100">
        <f>13466+70850</f>
        <v>84316</v>
      </c>
      <c r="L11" s="100">
        <f>12943+62382</f>
        <v>75325</v>
      </c>
      <c r="M11" s="100"/>
    </row>
    <row r="12" ht="15.75" customHeight="1">
      <c r="A12" s="37"/>
      <c r="B12" s="104" t="s">
        <v>69</v>
      </c>
      <c r="C12" s="28">
        <f t="shared" ref="C12:M12" si="3">IF(C7="","",C10-C13)</f>
        <v>0.1023135039</v>
      </c>
      <c r="D12" s="28">
        <f t="shared" si="3"/>
        <v>0.05930354264</v>
      </c>
      <c r="E12" s="28">
        <f t="shared" si="3"/>
        <v>0.09512240446</v>
      </c>
      <c r="F12" s="28">
        <f t="shared" si="3"/>
        <v>0.09493196212</v>
      </c>
      <c r="G12" s="28">
        <f t="shared" si="3"/>
        <v>0.03356324359</v>
      </c>
      <c r="H12" s="28">
        <f t="shared" si="3"/>
        <v>0.08815576103</v>
      </c>
      <c r="I12" s="28">
        <f t="shared" si="3"/>
        <v>0.0853818195</v>
      </c>
      <c r="J12" s="28">
        <f t="shared" si="3"/>
        <v>0.06685944187</v>
      </c>
      <c r="K12" s="28">
        <f t="shared" si="3"/>
        <v>0.08205289899</v>
      </c>
      <c r="L12" s="28">
        <f t="shared" si="3"/>
        <v>0.1156043194</v>
      </c>
      <c r="M12" s="28" t="str">
        <f t="shared" si="3"/>
        <v/>
      </c>
    </row>
    <row r="13" ht="15.75" customHeight="1">
      <c r="A13" s="37"/>
      <c r="B13" s="104" t="s">
        <v>70</v>
      </c>
      <c r="C13" s="28">
        <f t="shared" ref="C13:M13" si="4">IF(C14="","",C14/C7)</f>
        <v>0.1831554505</v>
      </c>
      <c r="D13" s="28">
        <f t="shared" si="4"/>
        <v>0.4785631102</v>
      </c>
      <c r="E13" s="28">
        <f t="shared" si="4"/>
        <v>0.1515105218</v>
      </c>
      <c r="F13" s="28">
        <f t="shared" si="4"/>
        <v>0.1799618001</v>
      </c>
      <c r="G13" s="28">
        <f t="shared" si="4"/>
        <v>0.5280332201</v>
      </c>
      <c r="H13" s="28">
        <f t="shared" si="4"/>
        <v>0.1120095467</v>
      </c>
      <c r="I13" s="28">
        <f t="shared" si="4"/>
        <v>0.2708757833</v>
      </c>
      <c r="J13" s="28">
        <f t="shared" si="4"/>
        <v>0.4498773012</v>
      </c>
      <c r="K13" s="28">
        <f t="shared" si="4"/>
        <v>0.4116045353</v>
      </c>
      <c r="L13" s="28">
        <f t="shared" si="4"/>
        <v>0.3073072059</v>
      </c>
      <c r="M13" s="28" t="str">
        <f t="shared" si="4"/>
        <v/>
      </c>
    </row>
    <row r="14" ht="15.75" customHeight="1">
      <c r="A14" s="37"/>
      <c r="B14" s="104" t="s">
        <v>71</v>
      </c>
      <c r="C14" s="106">
        <f t="shared" ref="C14:M14" si="5">IF(C7="","",C7-C9-C11)</f>
        <v>234741</v>
      </c>
      <c r="D14" s="106">
        <f t="shared" si="5"/>
        <v>1225815</v>
      </c>
      <c r="E14" s="106">
        <f t="shared" si="5"/>
        <v>242965</v>
      </c>
      <c r="F14" s="106">
        <f t="shared" si="5"/>
        <v>295383</v>
      </c>
      <c r="G14" s="106">
        <f t="shared" si="5"/>
        <v>2168078</v>
      </c>
      <c r="H14" s="106">
        <f t="shared" si="5"/>
        <v>156657</v>
      </c>
      <c r="I14" s="106">
        <f t="shared" si="5"/>
        <v>478978</v>
      </c>
      <c r="J14" s="106">
        <f t="shared" si="5"/>
        <v>719554</v>
      </c>
      <c r="K14" s="106">
        <f t="shared" si="5"/>
        <v>422957</v>
      </c>
      <c r="L14" s="106">
        <f t="shared" si="5"/>
        <v>200234</v>
      </c>
      <c r="M14" s="106" t="str">
        <f t="shared" si="5"/>
        <v/>
      </c>
    </row>
    <row r="15" ht="15.75" customHeight="1">
      <c r="A15" s="37"/>
      <c r="B15" s="104" t="s">
        <v>72</v>
      </c>
      <c r="C15" s="28">
        <f t="shared" ref="C15:L15" si="6">IF(D14="","",C14/D14-1)</f>
        <v>-0.8085020986</v>
      </c>
      <c r="D15" s="28">
        <f t="shared" si="6"/>
        <v>4.045232852</v>
      </c>
      <c r="E15" s="28">
        <f t="shared" si="6"/>
        <v>-0.1774577413</v>
      </c>
      <c r="F15" s="28">
        <f t="shared" si="6"/>
        <v>-0.8637581305</v>
      </c>
      <c r="G15" s="28">
        <f t="shared" si="6"/>
        <v>12.83964968</v>
      </c>
      <c r="H15" s="28">
        <f t="shared" si="6"/>
        <v>-0.6729348738</v>
      </c>
      <c r="I15" s="28">
        <f t="shared" si="6"/>
        <v>-0.3343404387</v>
      </c>
      <c r="J15" s="28">
        <f t="shared" si="6"/>
        <v>0.701246226</v>
      </c>
      <c r="K15" s="28">
        <f t="shared" si="6"/>
        <v>1.112313593</v>
      </c>
      <c r="L15" s="28" t="str">
        <f t="shared" si="6"/>
        <v/>
      </c>
      <c r="M15" s="105"/>
    </row>
    <row r="16" ht="15.75" customHeight="1">
      <c r="A16" s="37"/>
      <c r="B16" s="104" t="s">
        <v>73</v>
      </c>
      <c r="C16" s="106">
        <f>IF(C14="","",C14*(1-'FCF Model'!$D$17))</f>
        <v>176055.75</v>
      </c>
      <c r="D16" s="106">
        <f>IF(D14="","",D14*(1-'FCF Model'!$D$17))</f>
        <v>919361.25</v>
      </c>
      <c r="E16" s="106">
        <f>IF(E14="","",E14*(1-'FCF Model'!$D$17))</f>
        <v>182223.75</v>
      </c>
      <c r="F16" s="106">
        <f>IF(F14="","",F14*(1-'FCF Model'!$D$17))</f>
        <v>221537.25</v>
      </c>
      <c r="G16" s="106">
        <f>IF(G14="","",G14*(1-'FCF Model'!$D$17))</f>
        <v>1626058.5</v>
      </c>
      <c r="H16" s="106">
        <f>IF(H14="","",H14*(1-'FCF Model'!$D$17))</f>
        <v>117492.75</v>
      </c>
      <c r="I16" s="106">
        <f>IF(I14="","",I14*(1-'FCF Model'!$D$17))</f>
        <v>359233.5</v>
      </c>
      <c r="J16" s="106">
        <f>IF(J14="","",J14*(1-'FCF Model'!$D$17))</f>
        <v>539665.5</v>
      </c>
      <c r="K16" s="106">
        <f>IF(K14="","",K14*(1-'FCF Model'!$D$17))</f>
        <v>317217.75</v>
      </c>
      <c r="L16" s="106">
        <f>IF(L14="","",L14*(1-'FCF Model'!$D$17))</f>
        <v>150175.5</v>
      </c>
      <c r="M16" s="106" t="str">
        <f>IF(M14="","",M14*(1-'FCF Model'!$D$17))</f>
        <v/>
      </c>
    </row>
    <row r="17" ht="15.75" customHeight="1">
      <c r="A17" s="37"/>
      <c r="B17" s="104" t="s">
        <v>74</v>
      </c>
      <c r="C17" s="100">
        <v>3968.0</v>
      </c>
      <c r="D17" s="100">
        <v>3450.0</v>
      </c>
      <c r="E17" s="100">
        <v>5627.0</v>
      </c>
      <c r="F17" s="100">
        <v>0.0</v>
      </c>
      <c r="G17" s="100">
        <v>0.0</v>
      </c>
      <c r="H17" s="100">
        <v>0.0</v>
      </c>
      <c r="I17" s="100">
        <v>0.0</v>
      </c>
      <c r="J17" s="100">
        <v>0.0</v>
      </c>
      <c r="K17" s="100">
        <v>0.0</v>
      </c>
      <c r="L17" s="100">
        <v>0.0</v>
      </c>
      <c r="M17" s="100"/>
    </row>
    <row r="18" ht="15.75" customHeight="1">
      <c r="A18" s="37"/>
      <c r="B18" s="104" t="s">
        <v>75</v>
      </c>
      <c r="C18" s="106">
        <f t="shared" ref="C18:M18" si="7">IF(C7="","",C19-C16+C17)</f>
        <v>285725.25</v>
      </c>
      <c r="D18" s="106">
        <f t="shared" si="7"/>
        <v>463563.75</v>
      </c>
      <c r="E18" s="106">
        <f t="shared" si="7"/>
        <v>336812.25</v>
      </c>
      <c r="F18" s="106">
        <f t="shared" si="7"/>
        <v>7915.75</v>
      </c>
      <c r="G18" s="106">
        <f t="shared" si="7"/>
        <v>460505.5</v>
      </c>
      <c r="H18" s="106">
        <f t="shared" si="7"/>
        <v>28527.25</v>
      </c>
      <c r="I18" s="106">
        <f t="shared" si="7"/>
        <v>-88445.5</v>
      </c>
      <c r="J18" s="106">
        <f t="shared" si="7"/>
        <v>261735.5</v>
      </c>
      <c r="K18" s="106">
        <f t="shared" si="7"/>
        <v>64028.25</v>
      </c>
      <c r="L18" s="106">
        <f t="shared" si="7"/>
        <v>219302.5</v>
      </c>
      <c r="M18" s="106" t="str">
        <f t="shared" si="7"/>
        <v/>
      </c>
    </row>
    <row r="19" ht="15.75" customHeight="1">
      <c r="A19" s="37"/>
      <c r="B19" s="104" t="s">
        <v>76</v>
      </c>
      <c r="C19" s="100">
        <v>457813.0</v>
      </c>
      <c r="D19" s="100">
        <v>1379475.0</v>
      </c>
      <c r="E19" s="100">
        <v>513409.0</v>
      </c>
      <c r="F19" s="100">
        <v>229453.0</v>
      </c>
      <c r="G19" s="100">
        <v>2086564.0</v>
      </c>
      <c r="H19" s="100">
        <v>146020.0</v>
      </c>
      <c r="I19" s="100">
        <v>270788.0</v>
      </c>
      <c r="J19" s="100">
        <v>801401.0</v>
      </c>
      <c r="K19" s="100">
        <v>381246.0</v>
      </c>
      <c r="L19" s="100">
        <v>369478.0</v>
      </c>
      <c r="M19" s="100"/>
    </row>
    <row r="20" ht="15.75" customHeight="1">
      <c r="A20" s="37"/>
      <c r="B20" s="104" t="s">
        <v>77</v>
      </c>
      <c r="C20" s="28">
        <f t="shared" ref="C20:M20" si="8">IF(C7="","",C19/C7)</f>
        <v>0.3572062242</v>
      </c>
      <c r="D20" s="28">
        <f t="shared" si="8"/>
        <v>0.5385525927</v>
      </c>
      <c r="E20" s="28">
        <f t="shared" si="8"/>
        <v>0.3201566707</v>
      </c>
      <c r="F20" s="28">
        <f t="shared" si="8"/>
        <v>0.1397940129</v>
      </c>
      <c r="G20" s="28">
        <f t="shared" si="8"/>
        <v>0.5081805672</v>
      </c>
      <c r="H20" s="28">
        <f t="shared" si="8"/>
        <v>0.1044041058</v>
      </c>
      <c r="I20" s="28">
        <f t="shared" si="8"/>
        <v>0.153138373</v>
      </c>
      <c r="J20" s="28">
        <f t="shared" si="8"/>
        <v>0.5010494265</v>
      </c>
      <c r="K20" s="28">
        <f t="shared" si="8"/>
        <v>0.371013088</v>
      </c>
      <c r="L20" s="28">
        <f t="shared" si="8"/>
        <v>0.5670528073</v>
      </c>
      <c r="M20" s="28" t="str">
        <f t="shared" si="8"/>
        <v/>
      </c>
    </row>
    <row r="21" ht="15.75" customHeight="1">
      <c r="A21" s="37"/>
      <c r="B21" s="104" t="s">
        <v>78</v>
      </c>
      <c r="C21" s="106">
        <f>'Asset Model'!C21</f>
        <v>2002346</v>
      </c>
      <c r="D21" s="100">
        <v>3670507.0</v>
      </c>
      <c r="E21" s="100">
        <v>2865345.0</v>
      </c>
      <c r="F21" s="100">
        <v>2527686.0</v>
      </c>
      <c r="G21" s="100">
        <v>5106235.0</v>
      </c>
      <c r="H21" s="100">
        <v>3106308.0</v>
      </c>
      <c r="I21" s="100">
        <v>3051307.0</v>
      </c>
      <c r="J21" s="100">
        <v>3170680.0</v>
      </c>
      <c r="K21" s="100">
        <v>1921903.0</v>
      </c>
      <c r="L21" s="100">
        <v>1751952.0</v>
      </c>
      <c r="M21" s="100"/>
    </row>
    <row r="22" ht="15.75" customHeight="1">
      <c r="A22" s="37"/>
      <c r="B22" s="104" t="s">
        <v>79</v>
      </c>
      <c r="C22" s="106">
        <f>'Asset Model'!H21</f>
        <v>182527</v>
      </c>
      <c r="D22" s="100">
        <v>828810.0</v>
      </c>
      <c r="E22" s="100">
        <v>420078.0</v>
      </c>
      <c r="F22" s="100">
        <v>315633.0</v>
      </c>
      <c r="G22" s="100">
        <v>1218726.0</v>
      </c>
      <c r="H22" s="100">
        <v>2910215.0</v>
      </c>
      <c r="I22" s="100">
        <v>404572.0</v>
      </c>
      <c r="J22" s="100">
        <v>475871.0</v>
      </c>
      <c r="K22" s="100">
        <v>251770.0</v>
      </c>
      <c r="L22" s="100">
        <v>265414.0</v>
      </c>
      <c r="M22" s="100"/>
    </row>
    <row r="23" ht="15.75" customHeight="1">
      <c r="A23" s="37"/>
      <c r="B23" s="104" t="s">
        <v>80</v>
      </c>
      <c r="C23" s="106">
        <f>'Asset Model'!H10+'Asset Model'!H12</f>
        <v>19158</v>
      </c>
      <c r="D23" s="100">
        <v>98956.0</v>
      </c>
      <c r="E23" s="100">
        <v>28056.0</v>
      </c>
      <c r="F23" s="100">
        <v>0.0</v>
      </c>
      <c r="G23" s="100">
        <v>0.0</v>
      </c>
      <c r="H23" s="100">
        <v>0.0</v>
      </c>
      <c r="I23" s="100">
        <v>59800.0</v>
      </c>
      <c r="J23" s="100">
        <v>62420.0</v>
      </c>
      <c r="K23" s="100">
        <v>0.0</v>
      </c>
      <c r="L23" s="100">
        <v>0.0</v>
      </c>
      <c r="M23" s="100"/>
    </row>
    <row r="24" ht="15.75" customHeight="1">
      <c r="A24" s="37"/>
      <c r="B24" s="104" t="s">
        <v>81</v>
      </c>
      <c r="C24" s="106">
        <f>'Asset Model'!H23+'Asset Model'!H24</f>
        <v>96197</v>
      </c>
      <c r="D24" s="100">
        <v>775.0</v>
      </c>
      <c r="E24" s="100">
        <v>92873.0</v>
      </c>
      <c r="F24" s="100">
        <v>83169.0</v>
      </c>
      <c r="G24" s="100">
        <v>0.0</v>
      </c>
      <c r="H24" s="100">
        <v>0.0</v>
      </c>
      <c r="I24" s="100">
        <v>0.0</v>
      </c>
      <c r="J24" s="100">
        <v>0.0</v>
      </c>
      <c r="K24" s="100">
        <v>0.0</v>
      </c>
      <c r="L24" s="100">
        <v>0.0</v>
      </c>
      <c r="M24" s="100"/>
    </row>
    <row r="25" ht="15.75" customHeight="1">
      <c r="A25" s="37"/>
      <c r="B25" s="104" t="s">
        <v>82</v>
      </c>
      <c r="C25" s="106">
        <f t="shared" ref="C25:M25" si="9">IF(C7="","",C23+C24)</f>
        <v>115355</v>
      </c>
      <c r="D25" s="106">
        <f t="shared" si="9"/>
        <v>99731</v>
      </c>
      <c r="E25" s="106">
        <f t="shared" si="9"/>
        <v>120929</v>
      </c>
      <c r="F25" s="106">
        <f t="shared" si="9"/>
        <v>83169</v>
      </c>
      <c r="G25" s="106">
        <f t="shared" si="9"/>
        <v>0</v>
      </c>
      <c r="H25" s="106">
        <f t="shared" si="9"/>
        <v>0</v>
      </c>
      <c r="I25" s="106">
        <f t="shared" si="9"/>
        <v>59800</v>
      </c>
      <c r="J25" s="106">
        <f t="shared" si="9"/>
        <v>62420</v>
      </c>
      <c r="K25" s="106">
        <f t="shared" si="9"/>
        <v>0</v>
      </c>
      <c r="L25" s="106">
        <f t="shared" si="9"/>
        <v>0</v>
      </c>
      <c r="M25" s="106" t="str">
        <f t="shared" si="9"/>
        <v/>
      </c>
    </row>
    <row r="26" ht="15.75" customHeight="1">
      <c r="A26" s="37"/>
      <c r="B26" s="104" t="s">
        <v>83</v>
      </c>
      <c r="C26" s="106">
        <f>'Asset Model'!D3</f>
        <v>4649215</v>
      </c>
      <c r="D26" s="100">
        <v>5418042.0</v>
      </c>
      <c r="E26" s="100">
        <v>4389444.0</v>
      </c>
      <c r="F26" s="100">
        <v>3978461.0</v>
      </c>
      <c r="G26" s="100">
        <v>5640023.0</v>
      </c>
      <c r="H26" s="100">
        <v>3760569.0</v>
      </c>
      <c r="I26" s="100">
        <v>3860461.0</v>
      </c>
      <c r="J26" s="100">
        <v>3886205.0</v>
      </c>
      <c r="K26" s="100">
        <v>2828665.0</v>
      </c>
      <c r="L26" s="100">
        <v>2717178.0</v>
      </c>
      <c r="M26" s="100"/>
    </row>
    <row r="27" ht="15.75" customHeight="1">
      <c r="A27" s="37"/>
      <c r="B27" s="104" t="s">
        <v>84</v>
      </c>
      <c r="C27" s="106">
        <f>'Asset Model'!C43</f>
        <v>0</v>
      </c>
      <c r="D27" s="100">
        <v>0.0</v>
      </c>
      <c r="E27" s="100">
        <v>0.0</v>
      </c>
      <c r="F27" s="100">
        <v>0.0</v>
      </c>
      <c r="G27" s="100">
        <v>0.0</v>
      </c>
      <c r="H27" s="100">
        <v>62853.0</v>
      </c>
      <c r="I27" s="100">
        <v>70262.0</v>
      </c>
      <c r="J27" s="100">
        <v>76617.0</v>
      </c>
      <c r="K27" s="100">
        <v>81590.0</v>
      </c>
      <c r="L27" s="100">
        <v>84753.0</v>
      </c>
      <c r="M27" s="100"/>
    </row>
    <row r="28" ht="15.75" customHeight="1">
      <c r="A28" s="37"/>
      <c r="B28" s="104" t="s">
        <v>85</v>
      </c>
      <c r="C28" s="106">
        <f>'Asset Model'!D56</f>
        <v>1603645</v>
      </c>
      <c r="D28" s="100">
        <v>1665937.0</v>
      </c>
      <c r="E28" s="100">
        <v>2200778.0</v>
      </c>
      <c r="F28" s="100">
        <v>1629116.0</v>
      </c>
      <c r="G28" s="100">
        <v>2204704.0</v>
      </c>
      <c r="H28" s="100">
        <v>2629131.0</v>
      </c>
      <c r="I28" s="100">
        <v>2228784.0</v>
      </c>
      <c r="J28" s="100">
        <v>1551001.0</v>
      </c>
      <c r="K28" s="100">
        <v>692116.0</v>
      </c>
      <c r="L28" s="100">
        <v>888090.0</v>
      </c>
      <c r="M28" s="100"/>
    </row>
    <row r="29" ht="15.75" customHeight="1">
      <c r="A29" s="37"/>
      <c r="B29" s="104" t="s">
        <v>86</v>
      </c>
      <c r="C29" s="106">
        <f>'Asset Model'!C12+'Asset Model'!C25+'Asset Model'!C28+'Asset Model'!C29</f>
        <v>2230321</v>
      </c>
      <c r="D29" s="100">
        <v>3036587.0</v>
      </c>
      <c r="E29" s="100">
        <v>2180415.0</v>
      </c>
      <c r="F29" s="100">
        <v>2496088.0</v>
      </c>
      <c r="G29" s="100">
        <v>1907753.0</v>
      </c>
      <c r="H29" s="100">
        <f>41756+14875+55986+734229+67795</f>
        <v>914641</v>
      </c>
      <c r="I29" s="100">
        <f>154832+209394+146036+1061122+104275</f>
        <v>1675659</v>
      </c>
      <c r="J29" s="100">
        <f>178931+29528+171093+102651+889616+141031</f>
        <v>1512850</v>
      </c>
      <c r="K29" s="100">
        <f>441558+226782+132882+92125+898026+98837</f>
        <v>1890210</v>
      </c>
      <c r="L29" s="100">
        <f>240862+245899+337+102000+90944+953135+8024</f>
        <v>1641201</v>
      </c>
      <c r="M29" s="100"/>
    </row>
    <row r="30" ht="15.75" customHeight="1">
      <c r="A30" s="37"/>
      <c r="B30" s="104" t="s">
        <v>87</v>
      </c>
      <c r="C30" s="106">
        <f t="shared" ref="C30:M30" si="10">IF(C26="","",C25+C26-C28-C29)</f>
        <v>930604</v>
      </c>
      <c r="D30" s="106">
        <f t="shared" si="10"/>
        <v>815249</v>
      </c>
      <c r="E30" s="106">
        <f t="shared" si="10"/>
        <v>129180</v>
      </c>
      <c r="F30" s="106">
        <f t="shared" si="10"/>
        <v>-63574</v>
      </c>
      <c r="G30" s="106">
        <f t="shared" si="10"/>
        <v>1527566</v>
      </c>
      <c r="H30" s="106">
        <f t="shared" si="10"/>
        <v>216797</v>
      </c>
      <c r="I30" s="106">
        <f t="shared" si="10"/>
        <v>15818</v>
      </c>
      <c r="J30" s="106">
        <f t="shared" si="10"/>
        <v>884774</v>
      </c>
      <c r="K30" s="106">
        <f t="shared" si="10"/>
        <v>246339</v>
      </c>
      <c r="L30" s="106">
        <f t="shared" si="10"/>
        <v>187887</v>
      </c>
      <c r="M30" s="106" t="str">
        <f t="shared" si="10"/>
        <v/>
      </c>
    </row>
    <row r="31" ht="15.75" customHeight="1">
      <c r="A31" s="37"/>
      <c r="B31" s="104" t="s">
        <v>88</v>
      </c>
      <c r="C31" s="106">
        <f>'Asset Model'!D60</f>
        <v>8445</v>
      </c>
      <c r="D31" s="100">
        <v>8782.0</v>
      </c>
      <c r="E31" s="100">
        <v>195475.0</v>
      </c>
      <c r="F31" s="100">
        <v>29898.0</v>
      </c>
      <c r="G31" s="100">
        <v>18248.0</v>
      </c>
      <c r="H31" s="100">
        <f>8293</f>
        <v>8293</v>
      </c>
      <c r="I31" s="100">
        <v>20029.0</v>
      </c>
      <c r="J31" s="100">
        <v>19162.0</v>
      </c>
      <c r="K31" s="100">
        <v>3708.0</v>
      </c>
      <c r="L31" s="100">
        <v>7614.0</v>
      </c>
      <c r="M31" s="107"/>
    </row>
    <row r="32" ht="15.75" customHeight="1">
      <c r="A32" s="37"/>
      <c r="B32" s="104" t="s">
        <v>89</v>
      </c>
      <c r="C32" s="28">
        <f t="shared" ref="C32:M32" si="11">IF(C30="","",C31/C30)</f>
        <v>0.009074751452</v>
      </c>
      <c r="D32" s="28">
        <f t="shared" si="11"/>
        <v>0.01077216899</v>
      </c>
      <c r="E32" s="28">
        <f t="shared" si="11"/>
        <v>1.513198638</v>
      </c>
      <c r="F32" s="28">
        <f t="shared" si="11"/>
        <v>-0.4702865951</v>
      </c>
      <c r="G32" s="28">
        <f t="shared" si="11"/>
        <v>0.01194580136</v>
      </c>
      <c r="H32" s="28">
        <f t="shared" si="11"/>
        <v>0.03825237434</v>
      </c>
      <c r="I32" s="28">
        <f t="shared" si="11"/>
        <v>1.266215704</v>
      </c>
      <c r="J32" s="28">
        <f t="shared" si="11"/>
        <v>0.02165750802</v>
      </c>
      <c r="K32" s="28">
        <f t="shared" si="11"/>
        <v>0.01505242775</v>
      </c>
      <c r="L32" s="28">
        <f t="shared" si="11"/>
        <v>0.04052435773</v>
      </c>
      <c r="M32" s="28" t="str">
        <f t="shared" si="11"/>
        <v/>
      </c>
    </row>
    <row r="33" ht="15.75" customHeight="1">
      <c r="A33" s="37"/>
      <c r="B33" s="104" t="s">
        <v>90</v>
      </c>
      <c r="C33" s="28">
        <f t="shared" ref="C33:M33" si="12">IF(C16="","",C31/C16)</f>
        <v>0.04796776021</v>
      </c>
      <c r="D33" s="28">
        <f t="shared" si="12"/>
        <v>0.009552284263</v>
      </c>
      <c r="E33" s="28">
        <f t="shared" si="12"/>
        <v>1.072719665</v>
      </c>
      <c r="F33" s="28">
        <f t="shared" si="12"/>
        <v>0.134956988</v>
      </c>
      <c r="G33" s="28">
        <f t="shared" si="12"/>
        <v>0.01122222847</v>
      </c>
      <c r="H33" s="28">
        <f t="shared" si="12"/>
        <v>0.07058307853</v>
      </c>
      <c r="I33" s="28">
        <f t="shared" si="12"/>
        <v>0.05575482242</v>
      </c>
      <c r="J33" s="28">
        <f t="shared" si="12"/>
        <v>0.03550717991</v>
      </c>
      <c r="K33" s="28">
        <f t="shared" si="12"/>
        <v>0.01168913152</v>
      </c>
      <c r="L33" s="28">
        <f t="shared" si="12"/>
        <v>0.0507006802</v>
      </c>
      <c r="M33" s="28" t="str">
        <f t="shared" si="12"/>
        <v/>
      </c>
    </row>
    <row r="34" ht="15.75" customHeight="1">
      <c r="A34" s="37"/>
      <c r="B34" s="3" t="s">
        <v>91</v>
      </c>
    </row>
    <row r="35" ht="15.75" customHeight="1">
      <c r="A35" s="37"/>
      <c r="B35" s="104" t="s">
        <v>92</v>
      </c>
      <c r="C35" s="28">
        <f>IF(C16="","",(C16*$C$4)/(Dashboard!$C$9*1000000))</f>
        <v>0.05016233235</v>
      </c>
      <c r="D35" s="28">
        <f>IF(D16="","",(D16*$C$4)/(Dashboard!$C$9*1000000))</f>
        <v>0.2619471649</v>
      </c>
      <c r="E35" s="28">
        <f>IF(E16="","",(E16*$C$4)/(Dashboard!$C$9*1000000))</f>
        <v>0.05191973741</v>
      </c>
      <c r="F35" s="28">
        <f>IF(F16="","",(F16*$C$4)/(Dashboard!$C$9*1000000))</f>
        <v>0.06312105775</v>
      </c>
      <c r="G35" s="28">
        <f>IF(G16="","",(G16*$C$4)/(Dashboard!$C$9*1000000))</f>
        <v>0.463301465</v>
      </c>
      <c r="H35" s="28">
        <f>IF(H16="","",(H16*$C$4)/(Dashboard!$C$9*1000000))</f>
        <v>0.03347638674</v>
      </c>
      <c r="I35" s="28">
        <f>IF(I16="","",(I16*$C$4)/(Dashboard!$C$9*1000000))</f>
        <v>0.1023538863</v>
      </c>
      <c r="J35" s="28">
        <f>IF(J16="","",(J16*$C$4)/(Dashboard!$C$9*1000000))</f>
        <v>0.1537631129</v>
      </c>
      <c r="K35" s="28">
        <f>IF(K16="","",(K16*$C$4)/(Dashboard!$C$9*1000000))</f>
        <v>0.0903826328</v>
      </c>
      <c r="L35" s="28">
        <f>IF(L16="","",(L16*$C$4)/(Dashboard!$C$9*1000000))</f>
        <v>0.0427884539</v>
      </c>
      <c r="M35" s="28" t="str">
        <f>IF(M16="","",(M16*$C$4)/(Dashboard!$C$9*1000000))</f>
        <v/>
      </c>
    </row>
    <row r="36" ht="15.75" customHeight="1">
      <c r="A36" s="37"/>
      <c r="B36" s="104" t="s">
        <v>93</v>
      </c>
      <c r="C36" s="28">
        <f>IF(C19="","",(C19*$C$4)/(Dashboard!$C$9*1000000))</f>
        <v>0.1304414531</v>
      </c>
      <c r="D36" s="28">
        <f>IF(D19="","",(D19*$C$4)/(Dashboard!$C$9*1000000))</f>
        <v>0.3930441546</v>
      </c>
      <c r="E36" s="28">
        <f>IF(E19="","",(E19*$C$4)/(Dashboard!$C$9*1000000))</f>
        <v>0.1462820322</v>
      </c>
      <c r="F36" s="28">
        <f>IF(F19="","",(F19*$C$4)/(Dashboard!$C$9*1000000))</f>
        <v>0.06537643698</v>
      </c>
      <c r="G36" s="28">
        <f>IF(G19="","",(G19*$C$4)/(Dashboard!$C$9*1000000))</f>
        <v>0.5945100734</v>
      </c>
      <c r="H36" s="28">
        <f>IF(H19="","",(H19*$C$4)/(Dashboard!$C$9*1000000))</f>
        <v>0.04160445637</v>
      </c>
      <c r="I36" s="28">
        <f>IF(I19="","",(I19*$C$4)/(Dashboard!$C$9*1000000))</f>
        <v>0.07715372917</v>
      </c>
      <c r="J36" s="28">
        <f>IF(J19="","",(J19*$C$4)/(Dashboard!$C$9*1000000))</f>
        <v>0.2283375767</v>
      </c>
      <c r="K36" s="28">
        <f>IF(K19="","",(K19*$C$4)/(Dashboard!$C$9*1000000))</f>
        <v>0.1086257538</v>
      </c>
      <c r="L36" s="28">
        <f>IF(L19="","",(L19*$C$4)/(Dashboard!$C$9*1000000))</f>
        <v>0.10527278</v>
      </c>
      <c r="M36" s="28" t="str">
        <f>IF(M19="","",(M19*$C$4)/(Dashboard!$C$9*1000000))</f>
        <v/>
      </c>
    </row>
    <row r="37" ht="15.75" customHeight="1">
      <c r="A37" s="37"/>
      <c r="B37" s="3" t="s">
        <v>94</v>
      </c>
    </row>
    <row r="38" ht="15.75" customHeight="1">
      <c r="A38" s="37"/>
      <c r="B38" s="104" t="s">
        <v>95</v>
      </c>
      <c r="C38" s="28">
        <f t="shared" ref="C38:M38" si="13">IF(C7="","",C16/C7)</f>
        <v>0.1373665879</v>
      </c>
      <c r="D38" s="28">
        <f t="shared" si="13"/>
        <v>0.3589223326</v>
      </c>
      <c r="E38" s="28">
        <f t="shared" si="13"/>
        <v>0.1136328914</v>
      </c>
      <c r="F38" s="28">
        <f t="shared" si="13"/>
        <v>0.1349713501</v>
      </c>
      <c r="G38" s="28">
        <f t="shared" si="13"/>
        <v>0.3960249151</v>
      </c>
      <c r="H38" s="28">
        <f t="shared" si="13"/>
        <v>0.08400716</v>
      </c>
      <c r="I38" s="28">
        <f t="shared" si="13"/>
        <v>0.2031568375</v>
      </c>
      <c r="J38" s="28">
        <f t="shared" si="13"/>
        <v>0.3374079759</v>
      </c>
      <c r="K38" s="28">
        <f t="shared" si="13"/>
        <v>0.3087034015</v>
      </c>
      <c r="L38" s="28">
        <f t="shared" si="13"/>
        <v>0.2304804044</v>
      </c>
      <c r="M38" s="28" t="str">
        <f t="shared" si="13"/>
        <v/>
      </c>
    </row>
    <row r="39" ht="15.75" customHeight="1">
      <c r="A39" s="37"/>
      <c r="B39" s="104" t="s">
        <v>96</v>
      </c>
      <c r="C39" s="108">
        <f t="shared" ref="C39:L39" si="14">IF(D30="","",C7/D30)</f>
        <v>1.572095151</v>
      </c>
      <c r="D39" s="108">
        <f t="shared" si="14"/>
        <v>19.82852609</v>
      </c>
      <c r="E39" s="108">
        <f t="shared" si="14"/>
        <v>-25.22443137</v>
      </c>
      <c r="F39" s="108">
        <f t="shared" si="14"/>
        <v>1.074496945</v>
      </c>
      <c r="G39" s="108">
        <f t="shared" si="14"/>
        <v>18.93914584</v>
      </c>
      <c r="H39" s="108">
        <f t="shared" si="14"/>
        <v>88.41851056</v>
      </c>
      <c r="I39" s="108">
        <f t="shared" si="14"/>
        <v>1.99854087</v>
      </c>
      <c r="J39" s="108">
        <f t="shared" si="14"/>
        <v>6.492861463</v>
      </c>
      <c r="K39" s="108">
        <f t="shared" si="14"/>
        <v>5.469143687</v>
      </c>
      <c r="L39" s="108" t="str">
        <f t="shared" si="14"/>
        <v/>
      </c>
      <c r="M39" s="109"/>
    </row>
    <row r="40" ht="15.75" customHeight="1">
      <c r="A40" s="37"/>
      <c r="B40" s="104" t="s">
        <v>97</v>
      </c>
      <c r="C40" s="28">
        <f t="shared" ref="C40:L40" si="15">IF(D30="","",C16/D30)</f>
        <v>0.2159533468</v>
      </c>
      <c r="D40" s="28">
        <f t="shared" si="15"/>
        <v>7.116900836</v>
      </c>
      <c r="E40" s="28">
        <f t="shared" si="15"/>
        <v>-2.86632507</v>
      </c>
      <c r="F40" s="28">
        <f t="shared" si="15"/>
        <v>0.1450263033</v>
      </c>
      <c r="G40" s="28">
        <f t="shared" si="15"/>
        <v>7.500373621</v>
      </c>
      <c r="H40" s="28">
        <f t="shared" si="15"/>
        <v>7.427787963</v>
      </c>
      <c r="I40" s="28">
        <f t="shared" si="15"/>
        <v>0.4060172428</v>
      </c>
      <c r="J40" s="28">
        <f t="shared" si="15"/>
        <v>2.190743244</v>
      </c>
      <c r="K40" s="28">
        <f t="shared" si="15"/>
        <v>1.68834326</v>
      </c>
      <c r="L40" s="28" t="str">
        <f t="shared" si="15"/>
        <v/>
      </c>
      <c r="M40" s="109"/>
    </row>
    <row r="41" ht="15.75" customHeight="1">
      <c r="A41" s="37"/>
      <c r="B41" s="3" t="s">
        <v>98</v>
      </c>
    </row>
    <row r="42" ht="15.75" customHeight="1">
      <c r="A42" s="37"/>
      <c r="B42" s="104" t="s">
        <v>99</v>
      </c>
      <c r="C42" s="28">
        <f t="shared" ref="C42:M42" si="16">IF(C30="","",C24/C26)</f>
        <v>0.02069101988</v>
      </c>
      <c r="D42" s="28">
        <f t="shared" si="16"/>
        <v>0.000143040604</v>
      </c>
      <c r="E42" s="28">
        <f t="shared" si="16"/>
        <v>0.02115826059</v>
      </c>
      <c r="F42" s="28">
        <f t="shared" si="16"/>
        <v>0.02090481721</v>
      </c>
      <c r="G42" s="28">
        <f t="shared" si="16"/>
        <v>0</v>
      </c>
      <c r="H42" s="28">
        <f t="shared" si="16"/>
        <v>0</v>
      </c>
      <c r="I42" s="28">
        <f t="shared" si="16"/>
        <v>0</v>
      </c>
      <c r="J42" s="28">
        <f t="shared" si="16"/>
        <v>0</v>
      </c>
      <c r="K42" s="28">
        <f t="shared" si="16"/>
        <v>0</v>
      </c>
      <c r="L42" s="28">
        <f t="shared" si="16"/>
        <v>0</v>
      </c>
      <c r="M42" s="28" t="str">
        <f t="shared" si="16"/>
        <v/>
      </c>
    </row>
    <row r="43" ht="15.75" customHeight="1">
      <c r="A43" s="37"/>
      <c r="B43" s="104" t="s">
        <v>100</v>
      </c>
      <c r="C43" s="28">
        <f t="shared" ref="C43:M43" si="17">IF(C30="","",C25/C26)</f>
        <v>0.02481171553</v>
      </c>
      <c r="D43" s="28">
        <f t="shared" si="17"/>
        <v>0.01840720319</v>
      </c>
      <c r="E43" s="28">
        <f t="shared" si="17"/>
        <v>0.02754995849</v>
      </c>
      <c r="F43" s="28">
        <f t="shared" si="17"/>
        <v>0.02090481721</v>
      </c>
      <c r="G43" s="28">
        <f t="shared" si="17"/>
        <v>0</v>
      </c>
      <c r="H43" s="28">
        <f t="shared" si="17"/>
        <v>0</v>
      </c>
      <c r="I43" s="28">
        <f t="shared" si="17"/>
        <v>0.01549037796</v>
      </c>
      <c r="J43" s="28">
        <f t="shared" si="17"/>
        <v>0.01606194218</v>
      </c>
      <c r="K43" s="28">
        <f t="shared" si="17"/>
        <v>0</v>
      </c>
      <c r="L43" s="28">
        <f t="shared" si="17"/>
        <v>0</v>
      </c>
      <c r="M43" s="28" t="str">
        <f t="shared" si="17"/>
        <v/>
      </c>
    </row>
    <row r="44" ht="15.75" customHeight="1">
      <c r="A44" s="37"/>
      <c r="B44" s="104" t="s">
        <v>101</v>
      </c>
      <c r="C44" s="110">
        <f t="shared" ref="C44:M44" si="18">IF(C30="","",IF(C25&lt;=0,"-",C14/C25))</f>
        <v>2.034944302</v>
      </c>
      <c r="D44" s="110">
        <f t="shared" si="18"/>
        <v>12.29121336</v>
      </c>
      <c r="E44" s="110">
        <f t="shared" si="18"/>
        <v>2.009154132</v>
      </c>
      <c r="F44" s="110">
        <f t="shared" si="18"/>
        <v>3.551599755</v>
      </c>
      <c r="G44" s="110" t="str">
        <f t="shared" si="18"/>
        <v>-</v>
      </c>
      <c r="H44" s="110" t="str">
        <f t="shared" si="18"/>
        <v>-</v>
      </c>
      <c r="I44" s="110">
        <f t="shared" si="18"/>
        <v>8.009665552</v>
      </c>
      <c r="J44" s="110">
        <f t="shared" si="18"/>
        <v>11.52761935</v>
      </c>
      <c r="K44" s="110" t="str">
        <f t="shared" si="18"/>
        <v>-</v>
      </c>
      <c r="L44" s="110" t="str">
        <f t="shared" si="18"/>
        <v>-</v>
      </c>
      <c r="M44" s="110" t="str">
        <f t="shared" si="18"/>
        <v/>
      </c>
    </row>
    <row r="45" ht="15.75" customHeight="1">
      <c r="A45" s="37"/>
      <c r="B45" s="104" t="s">
        <v>102</v>
      </c>
      <c r="C45" s="110">
        <f t="shared" ref="C45:M45" si="19">IF(C31="","",IF(C17&lt;=0,"-",C17/C16))</f>
        <v>0.02253831528</v>
      </c>
      <c r="D45" s="110">
        <f t="shared" si="19"/>
        <v>0.003752605409</v>
      </c>
      <c r="E45" s="110">
        <f t="shared" si="19"/>
        <v>0.03087961915</v>
      </c>
      <c r="F45" s="110" t="str">
        <f t="shared" si="19"/>
        <v>-</v>
      </c>
      <c r="G45" s="110" t="str">
        <f t="shared" si="19"/>
        <v>-</v>
      </c>
      <c r="H45" s="110" t="str">
        <f t="shared" si="19"/>
        <v>-</v>
      </c>
      <c r="I45" s="110" t="str">
        <f t="shared" si="19"/>
        <v>-</v>
      </c>
      <c r="J45" s="110" t="str">
        <f t="shared" si="19"/>
        <v>-</v>
      </c>
      <c r="K45" s="110" t="str">
        <f t="shared" si="19"/>
        <v>-</v>
      </c>
      <c r="L45" s="110" t="str">
        <f t="shared" si="19"/>
        <v>-</v>
      </c>
      <c r="M45" s="110" t="str">
        <f t="shared" si="19"/>
        <v/>
      </c>
    </row>
    <row r="46" ht="15.75" customHeight="1">
      <c r="A46" s="37"/>
      <c r="B46" s="104" t="s">
        <v>103</v>
      </c>
      <c r="C46" s="108">
        <f t="shared" ref="C46:M46" si="20">IF(C30="","",C21/C22)</f>
        <v>10.97013593</v>
      </c>
      <c r="D46" s="108">
        <f t="shared" si="20"/>
        <v>4.428647096</v>
      </c>
      <c r="E46" s="108">
        <f t="shared" si="20"/>
        <v>6.820983246</v>
      </c>
      <c r="F46" s="108">
        <f t="shared" si="20"/>
        <v>8.008307116</v>
      </c>
      <c r="G46" s="108">
        <f t="shared" si="20"/>
        <v>4.189813789</v>
      </c>
      <c r="H46" s="108">
        <f t="shared" si="20"/>
        <v>1.067380932</v>
      </c>
      <c r="I46" s="108">
        <f t="shared" si="20"/>
        <v>7.542061734</v>
      </c>
      <c r="J46" s="108">
        <f t="shared" si="20"/>
        <v>6.662898138</v>
      </c>
      <c r="K46" s="108">
        <f t="shared" si="20"/>
        <v>7.63356635</v>
      </c>
      <c r="L46" s="108">
        <f t="shared" si="20"/>
        <v>6.600827387</v>
      </c>
      <c r="M46" s="108" t="str">
        <f t="shared" si="20"/>
        <v/>
      </c>
    </row>
    <row r="47" ht="15.75" customHeight="1">
      <c r="A47" s="37"/>
    </row>
    <row r="48" ht="15.75" customHeight="1">
      <c r="A48" s="37"/>
      <c r="B48" s="2" t="s">
        <v>104</v>
      </c>
      <c r="C48" s="111"/>
      <c r="D48" s="111"/>
      <c r="E48" s="111"/>
      <c r="F48" s="111"/>
    </row>
    <row r="49" ht="15.75" customHeight="1">
      <c r="A49" s="37"/>
      <c r="B49" s="112" t="s">
        <v>105</v>
      </c>
      <c r="C49" s="112"/>
      <c r="F49" s="4"/>
    </row>
    <row r="50" ht="15.75" customHeight="1">
      <c r="A50" s="37"/>
      <c r="B50" s="4" t="s">
        <v>106</v>
      </c>
      <c r="D50" s="113">
        <f>Dashboard!G10</f>
        <v>0.045</v>
      </c>
      <c r="E50" s="23"/>
      <c r="I50" s="114"/>
    </row>
    <row r="51" ht="15.75" customHeight="1">
      <c r="A51" s="37"/>
      <c r="B51" s="4" t="s">
        <v>107</v>
      </c>
      <c r="C51" s="114"/>
      <c r="D51" s="115" t="s">
        <v>108</v>
      </c>
      <c r="E51" s="23"/>
      <c r="I51" s="44"/>
    </row>
    <row r="52" ht="15.75" customHeight="1">
      <c r="A52" s="37"/>
      <c r="D52" s="116"/>
      <c r="E52" s="8"/>
      <c r="I52" s="44"/>
    </row>
    <row r="53" ht="15.75" customHeight="1">
      <c r="A53" s="37"/>
      <c r="B53" s="4" t="s">
        <v>109</v>
      </c>
      <c r="D53" s="117">
        <f>C14</f>
        <v>234741</v>
      </c>
      <c r="E53" s="23"/>
      <c r="F53" s="11" t="str">
        <f>IF(D$51="No Adjustment","✓","")</f>
        <v>✓</v>
      </c>
      <c r="I53" s="44"/>
    </row>
    <row r="54" ht="15.75" customHeight="1">
      <c r="A54" s="37"/>
      <c r="B54" s="4" t="s">
        <v>110</v>
      </c>
      <c r="D54" s="117">
        <f>C30*AVERAGE(C40:L40)</f>
        <v>2463497.054</v>
      </c>
      <c r="E54" s="23"/>
      <c r="F54" s="11" t="str">
        <f>IF(D$51="Average pre-tax ROC","✓","")</f>
        <v/>
      </c>
      <c r="I54" s="44"/>
    </row>
    <row r="55" ht="15.75" customHeight="1">
      <c r="A55" s="37"/>
      <c r="B55" s="4" t="s">
        <v>111</v>
      </c>
      <c r="D55" s="118"/>
      <c r="E55" s="23"/>
      <c r="F55" s="11" t="str">
        <f>IF(D$51="Direct Input","✓","")</f>
        <v/>
      </c>
    </row>
    <row r="56" ht="15.75" customHeight="1">
      <c r="A56" s="37"/>
    </row>
    <row r="57" ht="15.75" customHeight="1">
      <c r="A57" s="37"/>
      <c r="B57" s="112" t="s">
        <v>112</v>
      </c>
      <c r="C57" s="112"/>
      <c r="D57" s="1"/>
    </row>
    <row r="58" ht="15.0" customHeight="1">
      <c r="A58" s="37"/>
      <c r="B58" s="4" t="s">
        <v>113</v>
      </c>
      <c r="C58" s="1"/>
      <c r="D58" s="115" t="s">
        <v>114</v>
      </c>
      <c r="E58" s="23"/>
    </row>
    <row r="59" ht="15.0" customHeight="1">
      <c r="A59" s="37"/>
      <c r="B59" s="4"/>
      <c r="C59" s="1"/>
      <c r="D59" s="114"/>
      <c r="E59" s="114"/>
    </row>
    <row r="60" ht="15.75" customHeight="1">
      <c r="A60" s="37"/>
      <c r="B60" s="119" t="s">
        <v>115</v>
      </c>
      <c r="C60" s="120"/>
      <c r="D60" s="121">
        <v>5.0</v>
      </c>
      <c r="E60" s="6"/>
      <c r="F60" s="122"/>
    </row>
    <row r="61" ht="15.75" customHeight="1">
      <c r="A61" s="37"/>
      <c r="B61" s="123" t="s">
        <v>116</v>
      </c>
      <c r="C61" s="124" t="s">
        <v>117</v>
      </c>
      <c r="D61" s="125" t="s">
        <v>118</v>
      </c>
      <c r="E61" s="8"/>
      <c r="F61" s="126" t="s">
        <v>119</v>
      </c>
    </row>
    <row r="62" ht="15.75" customHeight="1">
      <c r="A62" s="37"/>
      <c r="B62" s="127" t="str">
        <f>C6</f>
        <v>FY 2021</v>
      </c>
      <c r="C62" s="128"/>
      <c r="D62" s="129">
        <f>1</f>
        <v>1</v>
      </c>
      <c r="E62" s="130">
        <f t="shared" ref="E62:E72" si="21">C62*D62</f>
        <v>0</v>
      </c>
      <c r="F62" s="131">
        <v>0.0</v>
      </c>
    </row>
    <row r="63" ht="15.75" customHeight="1">
      <c r="A63" s="37"/>
      <c r="B63" s="132">
        <f>IF(D7="","",-1)</f>
        <v>-1</v>
      </c>
      <c r="C63" s="128"/>
      <c r="D63" s="129">
        <f t="shared" ref="D63:D72" si="22">IF(B63&lt;0,(D$60+B63)/D$60,0)</f>
        <v>0.8</v>
      </c>
      <c r="E63" s="130">
        <f t="shared" si="21"/>
        <v>0</v>
      </c>
      <c r="F63" s="131">
        <f t="shared" ref="F63:F72" si="23">IF(B63&lt;0,C63/$D$60,0)</f>
        <v>0</v>
      </c>
    </row>
    <row r="64" ht="15.75" customHeight="1">
      <c r="A64" s="37"/>
      <c r="B64" s="132">
        <f t="shared" ref="B64:B72" si="24">IF((0-B63)&lt;$D$60,IF(B63&gt;-1, ,B63-1), )</f>
        <v>-2</v>
      </c>
      <c r="C64" s="128"/>
      <c r="D64" s="129">
        <f t="shared" si="22"/>
        <v>0.6</v>
      </c>
      <c r="E64" s="130">
        <f t="shared" si="21"/>
        <v>0</v>
      </c>
      <c r="F64" s="131">
        <f t="shared" si="23"/>
        <v>0</v>
      </c>
    </row>
    <row r="65" ht="15.75" customHeight="1">
      <c r="A65" s="37"/>
      <c r="B65" s="132">
        <f t="shared" si="24"/>
        <v>-3</v>
      </c>
      <c r="C65" s="128"/>
      <c r="D65" s="129">
        <f t="shared" si="22"/>
        <v>0.4</v>
      </c>
      <c r="E65" s="130">
        <f t="shared" si="21"/>
        <v>0</v>
      </c>
      <c r="F65" s="131">
        <f t="shared" si="23"/>
        <v>0</v>
      </c>
    </row>
    <row r="66" ht="15.75" customHeight="1">
      <c r="A66" s="37"/>
      <c r="B66" s="132">
        <f t="shared" si="24"/>
        <v>-4</v>
      </c>
      <c r="C66" s="128"/>
      <c r="D66" s="129">
        <f t="shared" si="22"/>
        <v>0.2</v>
      </c>
      <c r="E66" s="130">
        <f t="shared" si="21"/>
        <v>0</v>
      </c>
      <c r="F66" s="131">
        <f t="shared" si="23"/>
        <v>0</v>
      </c>
    </row>
    <row r="67" ht="15.75" customHeight="1">
      <c r="A67" s="37"/>
      <c r="B67" s="132">
        <f t="shared" si="24"/>
        <v>-5</v>
      </c>
      <c r="C67" s="128"/>
      <c r="D67" s="129">
        <f t="shared" si="22"/>
        <v>0</v>
      </c>
      <c r="E67" s="130">
        <f t="shared" si="21"/>
        <v>0</v>
      </c>
      <c r="F67" s="131">
        <f t="shared" si="23"/>
        <v>0</v>
      </c>
    </row>
    <row r="68" ht="15.75" customHeight="1">
      <c r="A68" s="37"/>
      <c r="B68" s="132" t="str">
        <f t="shared" si="24"/>
        <v/>
      </c>
      <c r="C68" s="128"/>
      <c r="D68" s="129">
        <f t="shared" si="22"/>
        <v>0</v>
      </c>
      <c r="E68" s="130">
        <f t="shared" si="21"/>
        <v>0</v>
      </c>
      <c r="F68" s="131">
        <f t="shared" si="23"/>
        <v>0</v>
      </c>
    </row>
    <row r="69" ht="15.75" customHeight="1">
      <c r="A69" s="37"/>
      <c r="B69" s="132" t="str">
        <f t="shared" si="24"/>
        <v/>
      </c>
      <c r="C69" s="128"/>
      <c r="D69" s="129">
        <f t="shared" si="22"/>
        <v>0</v>
      </c>
      <c r="E69" s="130">
        <f t="shared" si="21"/>
        <v>0</v>
      </c>
      <c r="F69" s="131">
        <f t="shared" si="23"/>
        <v>0</v>
      </c>
    </row>
    <row r="70" ht="15.75" customHeight="1">
      <c r="A70" s="37"/>
      <c r="B70" s="132" t="str">
        <f t="shared" si="24"/>
        <v/>
      </c>
      <c r="C70" s="128"/>
      <c r="D70" s="129">
        <f t="shared" si="22"/>
        <v>0</v>
      </c>
      <c r="E70" s="130">
        <f t="shared" si="21"/>
        <v>0</v>
      </c>
      <c r="F70" s="131">
        <f t="shared" si="23"/>
        <v>0</v>
      </c>
    </row>
    <row r="71" ht="15.75" customHeight="1">
      <c r="A71" s="37"/>
      <c r="B71" s="132" t="str">
        <f t="shared" si="24"/>
        <v/>
      </c>
      <c r="C71" s="128"/>
      <c r="D71" s="129">
        <f t="shared" si="22"/>
        <v>0</v>
      </c>
      <c r="E71" s="130">
        <f t="shared" si="21"/>
        <v>0</v>
      </c>
      <c r="F71" s="131">
        <f t="shared" si="23"/>
        <v>0</v>
      </c>
    </row>
    <row r="72" ht="15.75" customHeight="1">
      <c r="A72" s="37"/>
      <c r="B72" s="132" t="str">
        <f t="shared" si="24"/>
        <v/>
      </c>
      <c r="C72" s="128"/>
      <c r="D72" s="129">
        <f t="shared" si="22"/>
        <v>0</v>
      </c>
      <c r="E72" s="130">
        <f t="shared" si="21"/>
        <v>0</v>
      </c>
      <c r="F72" s="131">
        <f t="shared" si="23"/>
        <v>0</v>
      </c>
    </row>
    <row r="73" ht="15.75" customHeight="1">
      <c r="A73" s="37"/>
      <c r="B73" s="133" t="s">
        <v>120</v>
      </c>
      <c r="C73" s="134"/>
      <c r="D73" s="134"/>
      <c r="E73" s="130">
        <f>SUM(E62:E72)</f>
        <v>0</v>
      </c>
      <c r="F73" s="135"/>
    </row>
    <row r="74" ht="15.75" customHeight="1">
      <c r="A74" s="37"/>
      <c r="B74" s="133" t="s">
        <v>121</v>
      </c>
      <c r="C74" s="134"/>
      <c r="D74" s="134"/>
      <c r="E74" s="4"/>
      <c r="F74" s="131">
        <f>SUM(F63:F72)</f>
        <v>0</v>
      </c>
    </row>
    <row r="75" ht="15.75" customHeight="1">
      <c r="A75" s="37"/>
      <c r="B75" s="25"/>
      <c r="C75" s="4"/>
      <c r="D75" s="4"/>
      <c r="E75" s="4"/>
      <c r="F75" s="136"/>
    </row>
    <row r="76" ht="15.75" customHeight="1">
      <c r="A76" s="37"/>
      <c r="B76" s="137"/>
      <c r="C76" s="138" t="s">
        <v>122</v>
      </c>
      <c r="D76" s="138" t="s">
        <v>123</v>
      </c>
      <c r="E76" s="139" t="s">
        <v>124</v>
      </c>
      <c r="F76" s="140" t="s">
        <v>125</v>
      </c>
    </row>
    <row r="77" ht="15.75" customHeight="1">
      <c r="A77" s="37"/>
      <c r="B77" s="141" t="s">
        <v>126</v>
      </c>
      <c r="C77" s="142">
        <f>IF(D51="No Adjustment",D53,IF(D51="Direct Input",D55,D54))</f>
        <v>234741</v>
      </c>
      <c r="D77" s="142">
        <f>C77+C62-F74</f>
        <v>234741</v>
      </c>
      <c r="E77" s="143" t="s">
        <v>127</v>
      </c>
      <c r="F77" s="144" t="s">
        <v>128</v>
      </c>
    </row>
    <row r="78" ht="15.75" customHeight="1">
      <c r="A78" s="37"/>
      <c r="B78" s="141" t="s">
        <v>129</v>
      </c>
      <c r="C78" s="145">
        <f t="shared" ref="C78:D78" si="25">C77/$C$7</f>
        <v>0.1831554505</v>
      </c>
      <c r="D78" s="145">
        <f t="shared" si="25"/>
        <v>0.1831554505</v>
      </c>
      <c r="E78" s="143" t="s">
        <v>130</v>
      </c>
      <c r="F78" s="144" t="s">
        <v>131</v>
      </c>
    </row>
    <row r="79" ht="15.75" customHeight="1">
      <c r="A79" s="37"/>
      <c r="B79" s="141" t="s">
        <v>132</v>
      </c>
      <c r="C79" s="142">
        <f>C31</f>
        <v>8445</v>
      </c>
      <c r="D79" s="142">
        <f>C79+E73-F74</f>
        <v>8445</v>
      </c>
      <c r="E79" s="143" t="s">
        <v>133</v>
      </c>
      <c r="F79" s="144" t="s">
        <v>134</v>
      </c>
    </row>
    <row r="80" ht="15.75" customHeight="1">
      <c r="A80" s="37"/>
      <c r="B80" s="141" t="s">
        <v>73</v>
      </c>
      <c r="C80" s="142">
        <f>C16</f>
        <v>176055.75</v>
      </c>
      <c r="D80" s="142">
        <f>C80+C63</f>
        <v>176055.75</v>
      </c>
      <c r="E80" s="143" t="s">
        <v>135</v>
      </c>
      <c r="F80" s="144" t="s">
        <v>136</v>
      </c>
    </row>
    <row r="81" ht="15.75" customHeight="1">
      <c r="A81" s="37"/>
      <c r="B81" s="141" t="s">
        <v>137</v>
      </c>
      <c r="C81" s="142">
        <f>F3</f>
        <v>457813</v>
      </c>
      <c r="D81" s="142">
        <f>C81+C62-F74</f>
        <v>457813</v>
      </c>
      <c r="E81" s="143" t="s">
        <v>138</v>
      </c>
      <c r="F81" s="144" t="s">
        <v>136</v>
      </c>
    </row>
    <row r="82" ht="15.75" customHeight="1">
      <c r="A82" s="37"/>
      <c r="B82" s="146" t="s">
        <v>139</v>
      </c>
      <c r="C82" s="147">
        <f>C30</f>
        <v>930604</v>
      </c>
      <c r="D82" s="147">
        <f>C82+E73</f>
        <v>930604</v>
      </c>
      <c r="E82" s="148" t="s">
        <v>140</v>
      </c>
      <c r="F82" s="149" t="s">
        <v>136</v>
      </c>
    </row>
    <row r="83" ht="15.75" customHeight="1">
      <c r="A83" s="37"/>
      <c r="B83" s="150"/>
      <c r="C83" s="151"/>
      <c r="D83" s="151"/>
    </row>
    <row r="84" ht="15.75" customHeight="1">
      <c r="A84" s="37"/>
      <c r="B84" s="150"/>
      <c r="C84" s="151"/>
      <c r="D84" s="151"/>
    </row>
    <row r="85" ht="15.75" customHeight="1">
      <c r="A85" s="37"/>
      <c r="B85" s="150"/>
      <c r="C85" s="151"/>
      <c r="D85" s="151"/>
    </row>
    <row r="86" ht="15.75" customHeight="1">
      <c r="A86" s="37"/>
      <c r="B86" s="150"/>
      <c r="C86" s="44"/>
      <c r="D86" s="44"/>
    </row>
    <row r="87" ht="15.75" customHeight="1">
      <c r="A87" s="37"/>
      <c r="B87" s="150"/>
      <c r="C87" s="151"/>
      <c r="D87" s="151"/>
    </row>
    <row r="88" ht="15.75" customHeight="1">
      <c r="A88" s="37"/>
      <c r="B88" s="150"/>
      <c r="C88" s="44"/>
      <c r="D88" s="44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>
      <c r="A221" s="37"/>
    </row>
    <row r="222" ht="15.75" customHeight="1">
      <c r="A222" s="37"/>
    </row>
    <row r="223" ht="15.75" customHeight="1">
      <c r="A223" s="37"/>
    </row>
    <row r="224" ht="15.75" customHeight="1">
      <c r="A224" s="37"/>
    </row>
    <row r="225" ht="15.75" customHeight="1">
      <c r="A225" s="37"/>
    </row>
    <row r="226" ht="15.75" customHeight="1">
      <c r="A226" s="37"/>
    </row>
    <row r="227" ht="15.75" customHeight="1">
      <c r="A227" s="37"/>
    </row>
    <row r="228" ht="15.75" customHeight="1">
      <c r="A228" s="37"/>
    </row>
    <row r="229" ht="15.75" customHeight="1">
      <c r="A229" s="37"/>
    </row>
    <row r="230" ht="15.75" customHeight="1">
      <c r="A230" s="37"/>
    </row>
    <row r="231" ht="15.75" customHeight="1">
      <c r="A231" s="37"/>
    </row>
    <row r="232" ht="15.75" customHeight="1">
      <c r="A232" s="37"/>
    </row>
    <row r="233" ht="15.75" customHeight="1">
      <c r="A233" s="37"/>
    </row>
    <row r="234" ht="15.75" customHeight="1">
      <c r="A234" s="37"/>
    </row>
    <row r="235" ht="15.75" customHeight="1">
      <c r="A235" s="37"/>
    </row>
    <row r="236" ht="15.75" customHeight="1">
      <c r="A236" s="37"/>
    </row>
    <row r="237" ht="15.75" customHeight="1">
      <c r="A237" s="37"/>
    </row>
    <row r="238" ht="15.75" customHeight="1">
      <c r="A238" s="37"/>
    </row>
    <row r="239" ht="15.75" customHeight="1">
      <c r="A239" s="37"/>
    </row>
    <row r="240" ht="15.75" customHeight="1">
      <c r="A240" s="37"/>
    </row>
    <row r="241" ht="15.75" customHeight="1">
      <c r="A241" s="37"/>
    </row>
    <row r="242" ht="15.75" customHeight="1">
      <c r="A242" s="37"/>
    </row>
    <row r="243" ht="15.75" customHeight="1">
      <c r="A243" s="37"/>
    </row>
    <row r="244" ht="15.75" customHeight="1">
      <c r="A244" s="37"/>
    </row>
    <row r="245" ht="15.75" customHeight="1">
      <c r="A245" s="37"/>
    </row>
    <row r="246" ht="15.75" customHeight="1">
      <c r="A246" s="37"/>
    </row>
    <row r="247" ht="15.75" customHeight="1">
      <c r="A247" s="37"/>
    </row>
    <row r="248" ht="15.75" customHeight="1">
      <c r="A248" s="37"/>
    </row>
    <row r="249" ht="15.75" customHeight="1">
      <c r="A249" s="37"/>
    </row>
    <row r="250" ht="15.75" customHeight="1">
      <c r="A250" s="37"/>
    </row>
    <row r="251" ht="15.75" customHeight="1">
      <c r="A251" s="37"/>
    </row>
    <row r="252" ht="15.75" customHeight="1">
      <c r="A252" s="37"/>
    </row>
    <row r="253" ht="15.75" customHeight="1">
      <c r="A253" s="37"/>
    </row>
    <row r="254" ht="15.75" customHeight="1">
      <c r="A254" s="37"/>
    </row>
    <row r="255" ht="15.75" customHeight="1">
      <c r="A255" s="37"/>
    </row>
    <row r="256" ht="15.75" customHeight="1">
      <c r="A256" s="37"/>
    </row>
    <row r="257" ht="15.75" customHeight="1">
      <c r="A257" s="37"/>
    </row>
    <row r="258" ht="15.75" customHeight="1">
      <c r="A258" s="37"/>
    </row>
    <row r="259" ht="15.75" customHeight="1">
      <c r="A259" s="37"/>
    </row>
    <row r="260" ht="15.75" customHeight="1">
      <c r="A260" s="37"/>
    </row>
    <row r="261" ht="15.75" customHeight="1">
      <c r="A261" s="37"/>
    </row>
    <row r="262" ht="15.75" customHeight="1">
      <c r="A262" s="37"/>
    </row>
    <row r="263" ht="15.75" customHeight="1">
      <c r="A263" s="37"/>
    </row>
    <row r="264" ht="15.75" customHeight="1">
      <c r="A264" s="37"/>
    </row>
    <row r="265" ht="15.75" customHeight="1">
      <c r="A265" s="37"/>
    </row>
    <row r="266" ht="15.75" customHeight="1">
      <c r="A266" s="37"/>
    </row>
    <row r="267" ht="15.75" customHeight="1">
      <c r="A267" s="37"/>
    </row>
    <row r="268" ht="15.75" customHeight="1">
      <c r="A268" s="37"/>
    </row>
    <row r="269" ht="15.75" customHeight="1">
      <c r="A269" s="37"/>
    </row>
    <row r="270" ht="15.75" customHeight="1">
      <c r="A270" s="37"/>
    </row>
    <row r="271" ht="15.75" customHeight="1">
      <c r="A271" s="37"/>
    </row>
    <row r="272" ht="15.75" customHeight="1">
      <c r="A272" s="37"/>
    </row>
    <row r="273" ht="15.75" customHeight="1">
      <c r="A273" s="37"/>
    </row>
    <row r="274" ht="15.75" customHeight="1">
      <c r="A274" s="37"/>
    </row>
    <row r="275" ht="15.75" customHeight="1">
      <c r="A275" s="37"/>
    </row>
    <row r="276" ht="15.75" customHeight="1">
      <c r="A276" s="37"/>
    </row>
    <row r="277" ht="15.75" customHeight="1">
      <c r="A277" s="37"/>
    </row>
    <row r="278" ht="15.75" customHeight="1">
      <c r="A278" s="37"/>
    </row>
    <row r="279" ht="15.75" customHeight="1">
      <c r="A279" s="37"/>
    </row>
    <row r="280" ht="15.75" customHeight="1">
      <c r="A280" s="37"/>
    </row>
    <row r="281" ht="15.75" customHeight="1">
      <c r="A281" s="37"/>
    </row>
    <row r="282" ht="15.75" customHeight="1">
      <c r="A282" s="37"/>
    </row>
    <row r="283" ht="15.75" customHeight="1">
      <c r="A283" s="37"/>
    </row>
    <row r="284" ht="15.75" customHeight="1">
      <c r="A284" s="37"/>
    </row>
    <row r="285" ht="15.75" customHeight="1">
      <c r="A285" s="37"/>
    </row>
    <row r="286" ht="15.75" customHeight="1">
      <c r="A286" s="37"/>
    </row>
    <row r="287" ht="15.75" customHeight="1">
      <c r="A287" s="37"/>
    </row>
    <row r="288" ht="15.75" customHeight="1">
      <c r="A288" s="37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10">
    <mergeCell ref="D58:E58"/>
    <mergeCell ref="D60:E60"/>
    <mergeCell ref="D61:E61"/>
    <mergeCell ref="D50:E50"/>
    <mergeCell ref="D51:E51"/>
    <mergeCell ref="D52:E52"/>
    <mergeCell ref="D53:E53"/>
    <mergeCell ref="D54:E54"/>
    <mergeCell ref="D55:E55"/>
    <mergeCell ref="D57:E57"/>
  </mergeCells>
  <conditionalFormatting sqref="B60:F82">
    <cfRule type="expression" dxfId="2" priority="1">
      <formula>$D$58="No"</formula>
    </cfRule>
  </conditionalFormatting>
  <conditionalFormatting sqref="D42:M46">
    <cfRule type="containsBlanks" dxfId="3" priority="2">
      <formula>LEN(TRIM(D42))=0</formula>
    </cfRule>
  </conditionalFormatting>
  <conditionalFormatting sqref="D38:M40">
    <cfRule type="containsBlanks" dxfId="3" priority="3">
      <formula>LEN(TRIM(D38))=0</formula>
    </cfRule>
  </conditionalFormatting>
  <conditionalFormatting sqref="C7:M33 C35:M36">
    <cfRule type="containsBlanks" dxfId="3" priority="4">
      <formula>LEN(TRIM(C7))=0</formula>
    </cfRule>
  </conditionalFormatting>
  <dataValidations>
    <dataValidation type="decimal" allowBlank="1" showDropDown="1" sqref="D60">
      <formula1>1.0</formula1>
      <formula2>10.0</formula2>
    </dataValidation>
    <dataValidation type="decimal" allowBlank="1" showDropDown="1" showErrorMessage="1" sqref="C3">
      <formula1>2000.0</formula1>
      <formula2>2100.0</formula2>
    </dataValidation>
    <dataValidation type="list" allowBlank="1" sqref="D58">
      <formula1>"Yes,No"</formula1>
    </dataValidation>
    <dataValidation type="list" allowBlank="1" sqref="D51">
      <formula1>"No Adjustment,Average pre-tax ROC,Direct Input"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25.13"/>
    <col customWidth="1" min="3" max="5" width="17.63"/>
    <col customWidth="1" min="6" max="6" width="7.63"/>
    <col customWidth="1" min="7" max="7" width="17.63"/>
  </cols>
  <sheetData>
    <row r="2" ht="15.0" customHeight="1">
      <c r="B2" s="152" t="s">
        <v>141</v>
      </c>
      <c r="C2" s="153"/>
      <c r="D2" s="8"/>
    </row>
    <row r="3" ht="15.0" customHeight="1">
      <c r="B3" s="4" t="s">
        <v>142</v>
      </c>
      <c r="D3" s="154">
        <f>C39-H39</f>
        <v>4649215</v>
      </c>
    </row>
    <row r="4" ht="15.0" customHeight="1">
      <c r="E4" s="114" t="s">
        <v>143</v>
      </c>
    </row>
    <row r="5" ht="15.0" customHeight="1">
      <c r="B5" s="155" t="s">
        <v>144</v>
      </c>
      <c r="D5" s="154">
        <f>E39-H39-E43</f>
        <v>3582311.35</v>
      </c>
      <c r="E5" s="145">
        <f>1-D5/D3</f>
        <v>0.2294803854</v>
      </c>
      <c r="G5" s="156" t="s">
        <v>145</v>
      </c>
      <c r="H5" s="157">
        <f>IF(Data!F3&lt;=0,"NNI",D6/((Data!F3*Dashboard!C14)/(Dashboard!C8/Data!C4)))</f>
        <v>7.824835359</v>
      </c>
    </row>
    <row r="6" ht="15.0" customHeight="1">
      <c r="B6" s="4" t="s">
        <v>146</v>
      </c>
      <c r="D6" s="158">
        <f>(D5*Dashboard!C14*Data!C4)/Dashboard!C8</f>
        <v>1.949504329</v>
      </c>
      <c r="E6" s="159"/>
      <c r="G6" s="156" t="s">
        <v>147</v>
      </c>
      <c r="H6" s="157">
        <f>D6/(Data!C26*Dashboard!C14*Data!C4/Common_Shares)</f>
        <v>0.7705196146</v>
      </c>
    </row>
    <row r="7" ht="15.0" customHeight="1"/>
    <row r="8" ht="15.0" customHeight="1">
      <c r="B8" s="152" t="s">
        <v>148</v>
      </c>
      <c r="C8" s="153"/>
      <c r="D8" s="8"/>
      <c r="E8" s="4"/>
    </row>
    <row r="9" ht="15.0" customHeight="1">
      <c r="B9" s="160" t="s">
        <v>149</v>
      </c>
      <c r="C9" s="114" t="s">
        <v>150</v>
      </c>
      <c r="D9" s="114" t="s">
        <v>151</v>
      </c>
      <c r="E9" s="114" t="s">
        <v>152</v>
      </c>
      <c r="G9" s="160" t="s">
        <v>153</v>
      </c>
      <c r="H9" s="114" t="s">
        <v>150</v>
      </c>
    </row>
    <row r="10" ht="15.0" customHeight="1">
      <c r="B10" s="4" t="s">
        <v>154</v>
      </c>
      <c r="C10" s="161">
        <v>1603645.0</v>
      </c>
      <c r="D10" s="162">
        <v>1.0</v>
      </c>
      <c r="E10" s="142">
        <f t="shared" ref="E10:E17" si="1">C10*D10</f>
        <v>1603645</v>
      </c>
      <c r="G10" s="4" t="s">
        <v>155</v>
      </c>
      <c r="H10" s="161">
        <v>0.0</v>
      </c>
    </row>
    <row r="11">
      <c r="B11" s="4" t="s">
        <v>156</v>
      </c>
      <c r="C11" s="161">
        <v>0.0</v>
      </c>
      <c r="D11" s="162">
        <v>0.0</v>
      </c>
      <c r="E11" s="142">
        <f t="shared" si="1"/>
        <v>0</v>
      </c>
      <c r="G11" s="4" t="s">
        <v>157</v>
      </c>
      <c r="H11" s="161">
        <v>0.0</v>
      </c>
    </row>
    <row r="12">
      <c r="B12" s="4" t="s">
        <v>158</v>
      </c>
      <c r="C12" s="161">
        <v>198277.0</v>
      </c>
      <c r="D12" s="162">
        <v>0.7</v>
      </c>
      <c r="E12" s="142">
        <f t="shared" si="1"/>
        <v>138793.9</v>
      </c>
      <c r="G12" s="4" t="s">
        <v>159</v>
      </c>
      <c r="H12" s="161">
        <v>19158.0</v>
      </c>
    </row>
    <row r="13">
      <c r="B13" s="4" t="s">
        <v>160</v>
      </c>
      <c r="C13" s="161">
        <v>78011.0</v>
      </c>
      <c r="D13" s="162">
        <v>0.9</v>
      </c>
      <c r="E13" s="142">
        <f t="shared" si="1"/>
        <v>70209.9</v>
      </c>
      <c r="G13" s="4" t="s">
        <v>161</v>
      </c>
      <c r="H13" s="161">
        <v>163369.0</v>
      </c>
    </row>
    <row r="14">
      <c r="B14" s="4" t="s">
        <v>162</v>
      </c>
      <c r="C14" s="161">
        <v>26103.0</v>
      </c>
      <c r="D14" s="162">
        <v>0.8</v>
      </c>
      <c r="E14" s="142">
        <f t="shared" si="1"/>
        <v>20882.4</v>
      </c>
      <c r="G14" s="4" t="s">
        <v>163</v>
      </c>
      <c r="H14" s="161">
        <v>0.0</v>
      </c>
    </row>
    <row r="15">
      <c r="B15" s="4" t="s">
        <v>164</v>
      </c>
      <c r="C15" s="161">
        <v>96310.0</v>
      </c>
      <c r="D15" s="162">
        <v>0.0</v>
      </c>
      <c r="E15" s="142">
        <f t="shared" si="1"/>
        <v>0</v>
      </c>
      <c r="G15" s="4" t="s">
        <v>165</v>
      </c>
      <c r="H15" s="161">
        <v>0.0</v>
      </c>
    </row>
    <row r="16">
      <c r="B16" s="4" t="s">
        <v>166</v>
      </c>
      <c r="C16" s="161">
        <v>0.0</v>
      </c>
      <c r="D16" s="162">
        <v>0.0</v>
      </c>
      <c r="E16" s="142">
        <f t="shared" si="1"/>
        <v>0</v>
      </c>
      <c r="G16" s="4" t="s">
        <v>167</v>
      </c>
      <c r="H16" s="161">
        <v>0.0</v>
      </c>
    </row>
    <row r="17">
      <c r="B17" s="4" t="s">
        <v>168</v>
      </c>
      <c r="C17" s="161">
        <v>0.0</v>
      </c>
      <c r="D17" s="162">
        <v>0.0</v>
      </c>
      <c r="E17" s="142">
        <f t="shared" si="1"/>
        <v>0</v>
      </c>
    </row>
    <row r="19" ht="15.0" customHeight="1">
      <c r="B19" s="163" t="s">
        <v>169</v>
      </c>
      <c r="C19" s="164">
        <f>SUM(C10:C12)+C14</f>
        <v>1828025</v>
      </c>
      <c r="D19" s="165">
        <f t="shared" ref="D19:D21" si="2">E19/C19</f>
        <v>0.9646045869</v>
      </c>
      <c r="E19" s="166">
        <f>SUM(E10:E12)+E14</f>
        <v>1763321.3</v>
      </c>
      <c r="G19" s="163" t="s">
        <v>170</v>
      </c>
      <c r="H19" s="167">
        <f t="shared" ref="H19:H20" si="3">E19/$H$21</f>
        <v>9.66060528</v>
      </c>
      <c r="I19" s="168" t="str">
        <f>IF(H19&lt;1,"Liquidity Problem!","")</f>
        <v/>
      </c>
    </row>
    <row r="20" ht="15.0" customHeight="1">
      <c r="B20" s="163" t="s">
        <v>171</v>
      </c>
      <c r="C20" s="164">
        <f>C19+C13</f>
        <v>1906036</v>
      </c>
      <c r="D20" s="165">
        <f t="shared" si="2"/>
        <v>0.9619604247</v>
      </c>
      <c r="E20" s="142">
        <f>E19+E13</f>
        <v>1833531.2</v>
      </c>
      <c r="G20" s="163" t="s">
        <v>172</v>
      </c>
      <c r="H20" s="167">
        <f t="shared" si="3"/>
        <v>10.04526015</v>
      </c>
      <c r="I20" s="168"/>
    </row>
    <row r="21" ht="15.0" customHeight="1">
      <c r="B21" s="4" t="s">
        <v>173</v>
      </c>
      <c r="C21" s="169">
        <f>SUM(C10:C17)</f>
        <v>2002346</v>
      </c>
      <c r="D21" s="145">
        <f t="shared" si="2"/>
        <v>0.9156914939</v>
      </c>
      <c r="E21" s="142">
        <f>SUM(E10:E17)</f>
        <v>1833531.2</v>
      </c>
      <c r="G21" s="4" t="s">
        <v>79</v>
      </c>
      <c r="H21" s="169">
        <f>SUM(H10:H16)</f>
        <v>182527</v>
      </c>
      <c r="I21" s="168"/>
    </row>
    <row r="23" ht="15.0" customHeight="1">
      <c r="B23" s="4" t="s">
        <v>174</v>
      </c>
      <c r="C23" s="161">
        <v>179825.0</v>
      </c>
      <c r="D23" s="162">
        <v>0.2</v>
      </c>
      <c r="E23" s="142">
        <f t="shared" ref="E23:E31" si="4">C23*D23</f>
        <v>35965</v>
      </c>
      <c r="G23" s="4" t="s">
        <v>175</v>
      </c>
      <c r="H23" s="161">
        <v>77075.0</v>
      </c>
    </row>
    <row r="24" ht="15.0" customHeight="1">
      <c r="B24" s="4" t="s">
        <v>176</v>
      </c>
      <c r="C24" s="161">
        <v>38764.0</v>
      </c>
      <c r="D24" s="162">
        <v>0.5</v>
      </c>
      <c r="E24" s="142">
        <f t="shared" si="4"/>
        <v>19382</v>
      </c>
      <c r="G24" s="4" t="s">
        <v>177</v>
      </c>
      <c r="H24" s="161">
        <v>19122.0</v>
      </c>
    </row>
    <row r="25" ht="15.0" customHeight="1">
      <c r="B25" s="4" t="s">
        <v>178</v>
      </c>
      <c r="C25" s="161">
        <v>193495.0</v>
      </c>
      <c r="D25" s="162">
        <v>0.85</v>
      </c>
      <c r="E25" s="142">
        <f t="shared" si="4"/>
        <v>164470.75</v>
      </c>
      <c r="G25" s="4" t="s">
        <v>179</v>
      </c>
      <c r="H25" s="161">
        <v>3972.0</v>
      </c>
    </row>
    <row r="26" ht="15.0" customHeight="1">
      <c r="B26" s="4" t="s">
        <v>180</v>
      </c>
      <c r="C26" s="161">
        <v>654635.0</v>
      </c>
      <c r="D26" s="162">
        <v>0.8</v>
      </c>
      <c r="E26" s="142">
        <f t="shared" si="4"/>
        <v>523708</v>
      </c>
      <c r="G26" s="4" t="s">
        <v>181</v>
      </c>
      <c r="H26" s="161">
        <v>0.0</v>
      </c>
    </row>
    <row r="27">
      <c r="B27" s="4" t="s">
        <v>182</v>
      </c>
      <c r="C27" s="161">
        <v>13431.0</v>
      </c>
      <c r="D27" s="162">
        <v>0.1</v>
      </c>
      <c r="E27" s="142">
        <f t="shared" si="4"/>
        <v>1343.1</v>
      </c>
      <c r="G27" s="4" t="s">
        <v>183</v>
      </c>
      <c r="H27" s="161">
        <v>377.0</v>
      </c>
    </row>
    <row r="28">
      <c r="B28" s="4" t="s">
        <v>184</v>
      </c>
      <c r="C28" s="161">
        <v>1838549.0</v>
      </c>
      <c r="D28" s="162">
        <v>0.7</v>
      </c>
      <c r="E28" s="142">
        <f t="shared" si="4"/>
        <v>1286984.3</v>
      </c>
      <c r="G28" s="4" t="s">
        <v>185</v>
      </c>
      <c r="H28" s="161">
        <v>0.0</v>
      </c>
    </row>
    <row r="29">
      <c r="B29" s="4" t="s">
        <v>186</v>
      </c>
      <c r="C29" s="161">
        <v>0.0</v>
      </c>
      <c r="D29" s="162">
        <v>0.0</v>
      </c>
      <c r="E29" s="142">
        <f t="shared" si="4"/>
        <v>0</v>
      </c>
    </row>
    <row r="30" ht="15.0" customHeight="1">
      <c r="B30" s="4" t="s">
        <v>187</v>
      </c>
      <c r="C30" s="161">
        <v>1788.0</v>
      </c>
      <c r="D30" s="162">
        <v>0.0</v>
      </c>
      <c r="E30" s="142">
        <f t="shared" si="4"/>
        <v>0</v>
      </c>
    </row>
    <row r="31">
      <c r="B31" s="4" t="s">
        <v>188</v>
      </c>
      <c r="C31" s="161">
        <v>0.0</v>
      </c>
      <c r="D31" s="162">
        <v>0.0</v>
      </c>
      <c r="E31" s="142">
        <f t="shared" si="4"/>
        <v>0</v>
      </c>
    </row>
    <row r="32" ht="15.0" customHeight="1">
      <c r="B32" s="4" t="s">
        <v>189</v>
      </c>
      <c r="C32" s="161">
        <v>0.0</v>
      </c>
      <c r="D32" s="162">
        <v>0.0</v>
      </c>
      <c r="E32" s="142">
        <v>0.0</v>
      </c>
    </row>
    <row r="33" ht="15.0" customHeight="1">
      <c r="B33" s="4" t="s">
        <v>190</v>
      </c>
      <c r="C33" s="161">
        <v>9455.0</v>
      </c>
      <c r="D33" s="162">
        <v>0.0</v>
      </c>
      <c r="E33" s="142">
        <f>C33*D33</f>
        <v>0</v>
      </c>
    </row>
    <row r="35">
      <c r="B35" s="4" t="s">
        <v>191</v>
      </c>
      <c r="C35" s="169">
        <f>SUM(C23:C33)</f>
        <v>2929942</v>
      </c>
      <c r="D35" s="145">
        <f>E35/C35</f>
        <v>0.6934789665</v>
      </c>
      <c r="E35" s="142">
        <f>SUM(E23:E33)</f>
        <v>2031853.15</v>
      </c>
      <c r="G35" s="4" t="s">
        <v>192</v>
      </c>
      <c r="H35" s="169">
        <f>SUM(H23:H28)</f>
        <v>100546</v>
      </c>
    </row>
    <row r="37" ht="15.0" customHeight="1">
      <c r="B37" s="163" t="s">
        <v>193</v>
      </c>
      <c r="C37" s="164">
        <f>C19+(C28+C29)+C32</f>
        <v>3666574</v>
      </c>
      <c r="D37" s="165">
        <f t="shared" ref="D37:D39" si="5">E37/C37</f>
        <v>0.8319225522</v>
      </c>
      <c r="E37" s="166">
        <f>E19+(E28+E29)+E32</f>
        <v>3050305.6</v>
      </c>
      <c r="G37" s="163" t="s">
        <v>194</v>
      </c>
      <c r="H37" s="167">
        <f t="shared" ref="H37:H38" si="6">E37/$H$39</f>
        <v>10.77568542</v>
      </c>
      <c r="I37" s="168" t="str">
        <f>IF(H37&lt;1,"Liquidity Problem!","")</f>
        <v/>
      </c>
    </row>
    <row r="38" ht="15.0" customHeight="1">
      <c r="B38" s="163" t="s">
        <v>195</v>
      </c>
      <c r="C38" s="170">
        <f>C37+C31</f>
        <v>3666574</v>
      </c>
      <c r="D38" s="165">
        <f t="shared" si="5"/>
        <v>0.8319225522</v>
      </c>
      <c r="E38" s="142">
        <f>E37+E31</f>
        <v>3050305.6</v>
      </c>
      <c r="G38" s="163" t="s">
        <v>196</v>
      </c>
      <c r="H38" s="167">
        <f t="shared" si="6"/>
        <v>10.77568542</v>
      </c>
    </row>
    <row r="39" ht="15.0" customHeight="1">
      <c r="B39" s="4" t="s">
        <v>197</v>
      </c>
      <c r="C39" s="171">
        <f>C21+C35</f>
        <v>4932288</v>
      </c>
      <c r="D39" s="145">
        <f t="shared" si="5"/>
        <v>0.7836899123</v>
      </c>
      <c r="E39" s="142">
        <f>E21+E35</f>
        <v>3865384.35</v>
      </c>
      <c r="G39" s="4" t="s">
        <v>198</v>
      </c>
      <c r="H39" s="171">
        <f>H21+H35</f>
        <v>283073</v>
      </c>
    </row>
    <row r="41">
      <c r="B41" s="111" t="s">
        <v>199</v>
      </c>
      <c r="C41" s="111"/>
      <c r="D41" s="111"/>
    </row>
    <row r="42">
      <c r="B42" s="172" t="s">
        <v>200</v>
      </c>
      <c r="C42" s="112"/>
      <c r="D42" s="1"/>
    </row>
    <row r="43">
      <c r="B43" s="4" t="s">
        <v>201</v>
      </c>
      <c r="C43" s="173">
        <v>0.0</v>
      </c>
      <c r="D43" s="174" t="s">
        <v>202</v>
      </c>
      <c r="E43" s="142">
        <f>IF(D43="BV of the MI",D45,IF(D43="Direct Input",D47,D46))</f>
        <v>0</v>
      </c>
    </row>
    <row r="45">
      <c r="B45" s="4" t="s">
        <v>203</v>
      </c>
      <c r="D45" s="117">
        <f>Data!C27</f>
        <v>0</v>
      </c>
      <c r="E45" s="23"/>
    </row>
    <row r="46">
      <c r="B46" s="4" t="s">
        <v>204</v>
      </c>
      <c r="D46" s="117">
        <f>D45*Dashboard!D10</f>
        <v>0</v>
      </c>
      <c r="E46" s="23"/>
    </row>
    <row r="47">
      <c r="B47" s="4" t="s">
        <v>111</v>
      </c>
      <c r="D47" s="118"/>
      <c r="E47" s="23"/>
    </row>
    <row r="49">
      <c r="B49" s="112" t="s">
        <v>205</v>
      </c>
      <c r="C49" s="112"/>
      <c r="D49" s="1"/>
      <c r="F49" s="4"/>
    </row>
    <row r="50">
      <c r="B50" s="4" t="s">
        <v>206</v>
      </c>
      <c r="D50" s="118">
        <v>0.0</v>
      </c>
      <c r="E50" s="23"/>
      <c r="F50" s="4"/>
    </row>
    <row r="51">
      <c r="B51" s="4" t="s">
        <v>207</v>
      </c>
      <c r="D51" s="118">
        <v>0.0</v>
      </c>
      <c r="E51" s="23"/>
      <c r="F51" s="1" t="s">
        <v>208</v>
      </c>
    </row>
    <row r="52">
      <c r="B52" s="4" t="s">
        <v>209</v>
      </c>
      <c r="D52" s="175">
        <f>Data!C25+D50+D51</f>
        <v>115355</v>
      </c>
      <c r="E52" s="23"/>
      <c r="F52" s="4" t="s">
        <v>210</v>
      </c>
    </row>
    <row r="54">
      <c r="B54" s="112" t="s">
        <v>211</v>
      </c>
      <c r="C54" s="112"/>
      <c r="D54" s="1"/>
      <c r="F54" s="176" t="s">
        <v>212</v>
      </c>
    </row>
    <row r="55">
      <c r="B55" s="4" t="s">
        <v>213</v>
      </c>
      <c r="D55" s="117">
        <f>E12+E25+E28+E29</f>
        <v>1590248.95</v>
      </c>
      <c r="E55" s="23"/>
      <c r="F55" s="145">
        <f>1-(E12+E25+E28+E29)/Data!C29</f>
        <v>0.2869865145</v>
      </c>
    </row>
    <row r="56">
      <c r="B56" s="4" t="s">
        <v>154</v>
      </c>
      <c r="D56" s="175">
        <f>C10+C11+C32</f>
        <v>1603645</v>
      </c>
      <c r="E56" s="23"/>
    </row>
    <row r="57">
      <c r="B57" s="4" t="s">
        <v>214</v>
      </c>
      <c r="D57" s="117">
        <f>((Dashboard!C9*1000)+D52+E43-(C12+C25+C28+C29)-D56)</f>
        <v>-208890.8228</v>
      </c>
      <c r="E57" s="23"/>
    </row>
    <row r="59">
      <c r="B59" s="112" t="s">
        <v>215</v>
      </c>
      <c r="C59" s="112"/>
    </row>
    <row r="60">
      <c r="B60" s="4" t="str">
        <f>"Estimated Reinvestment in "&amp;Data!C6</f>
        <v>Estimated Reinvestment in FY 2021</v>
      </c>
      <c r="D60" s="118">
        <v>8445.0</v>
      </c>
      <c r="E60" s="23"/>
    </row>
  </sheetData>
  <mergeCells count="15">
    <mergeCell ref="D50:E50"/>
    <mergeCell ref="D51:E51"/>
    <mergeCell ref="D52:E52"/>
    <mergeCell ref="D54:E54"/>
    <mergeCell ref="D55:E55"/>
    <mergeCell ref="D56:E56"/>
    <mergeCell ref="D57:E57"/>
    <mergeCell ref="D60:E60"/>
    <mergeCell ref="B2:D2"/>
    <mergeCell ref="B8:D8"/>
    <mergeCell ref="D42:E42"/>
    <mergeCell ref="D45:E45"/>
    <mergeCell ref="D46:E46"/>
    <mergeCell ref="D47:E47"/>
    <mergeCell ref="D49:E49"/>
  </mergeCells>
  <dataValidations>
    <dataValidation type="list" allowBlank="1" sqref="D43">
      <formula1>"BV of the MI,P/B Approach,Direct Input"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26.88"/>
    <col customWidth="1" min="3" max="7" width="17.63"/>
    <col customWidth="1" min="8" max="8" width="2.63"/>
  </cols>
  <sheetData>
    <row r="2" ht="15.75" customHeight="1">
      <c r="B2" s="177" t="s">
        <v>216</v>
      </c>
      <c r="C2" s="4" t="s">
        <v>217</v>
      </c>
      <c r="G2" s="4"/>
    </row>
    <row r="3" ht="15.75" customHeight="1">
      <c r="B3" s="178" t="s">
        <v>218</v>
      </c>
      <c r="C3" s="179">
        <v>1.0</v>
      </c>
      <c r="D3" s="180" t="str">
        <f>IF(E7="","next 1 years","next 3 years")</f>
        <v>next 3 years</v>
      </c>
      <c r="E3" s="180" t="s">
        <v>219</v>
      </c>
      <c r="G3" s="4"/>
    </row>
    <row r="4" ht="15.75" customHeight="1">
      <c r="B4" s="181" t="s">
        <v>72</v>
      </c>
      <c r="C4" s="182" t="str">
        <f>Data!J4</f>
        <v>NA</v>
      </c>
      <c r="D4" s="183">
        <f>IF(E7="",D16/C16-1,(G16/C16)^(1/4)-1)</f>
        <v>-0.01721031331</v>
      </c>
      <c r="E4" s="182">
        <f>Dashboard!G10</f>
        <v>0.045</v>
      </c>
      <c r="G4" s="4"/>
    </row>
    <row r="5" ht="15.75" customHeight="1">
      <c r="B5" s="184"/>
      <c r="G5" s="4"/>
    </row>
    <row r="6" ht="15.75" customHeight="1">
      <c r="B6" s="185" t="str">
        <f>"(Numbers in "&amp;Data!C4&amp;Dashboard!C13&amp;")"</f>
        <v>(Numbers in 1000HKD)</v>
      </c>
      <c r="C6" s="186" t="str">
        <f>RIGHT(Data!C6,4)</f>
        <v>2021</v>
      </c>
      <c r="D6" s="186">
        <v>1.0</v>
      </c>
      <c r="E6" s="186">
        <v>2.0</v>
      </c>
      <c r="F6" s="186">
        <v>3.0</v>
      </c>
      <c r="G6" s="186" t="s">
        <v>220</v>
      </c>
      <c r="I6" s="187" t="s">
        <v>221</v>
      </c>
      <c r="L6" s="1"/>
      <c r="M6" s="1"/>
    </row>
    <row r="7" ht="15.75" customHeight="1">
      <c r="B7" s="4" t="s">
        <v>222</v>
      </c>
      <c r="C7" s="188">
        <f>Data!C8</f>
        <v>-0.4996390715</v>
      </c>
      <c r="D7" s="145">
        <f>D8/C8-1</f>
        <v>-0.5365345738</v>
      </c>
      <c r="E7" s="162">
        <v>0.8</v>
      </c>
      <c r="F7" s="189"/>
      <c r="G7" s="189"/>
      <c r="I7" s="190"/>
      <c r="L7" s="1"/>
      <c r="M7" s="1"/>
    </row>
    <row r="8" ht="15.75" customHeight="1">
      <c r="B8" s="4" t="s">
        <v>223</v>
      </c>
      <c r="C8" s="191">
        <f>Data!C7</f>
        <v>1281649</v>
      </c>
      <c r="D8" s="173">
        <f>330000*1.8</f>
        <v>594000</v>
      </c>
      <c r="E8" s="142">
        <f>IF(E7="","",D8*(1+E7))</f>
        <v>1069200</v>
      </c>
      <c r="F8" s="189"/>
      <c r="G8" s="189"/>
      <c r="I8" s="190" t="s">
        <v>224</v>
      </c>
      <c r="L8" s="1"/>
      <c r="M8" s="44"/>
    </row>
    <row r="9" ht="15.75" customHeight="1">
      <c r="B9" s="33" t="s">
        <v>225</v>
      </c>
      <c r="C9" s="192">
        <f>Data!C9</f>
        <v>915778</v>
      </c>
      <c r="D9" s="147">
        <f>D8*(1-D10)</f>
        <v>641520</v>
      </c>
      <c r="E9" s="147">
        <f>IF(E7="","",E8*(1-E10))</f>
        <v>769824</v>
      </c>
      <c r="F9" s="189"/>
      <c r="G9" s="189"/>
      <c r="I9" s="190"/>
      <c r="L9" s="1"/>
      <c r="M9" s="114"/>
    </row>
    <row r="10" ht="15.75" customHeight="1">
      <c r="B10" s="193" t="s">
        <v>226</v>
      </c>
      <c r="C10" s="188">
        <f>Data!C10</f>
        <v>0.2854689544</v>
      </c>
      <c r="D10" s="194">
        <v>-0.08</v>
      </c>
      <c r="E10" s="194">
        <v>0.28</v>
      </c>
      <c r="F10" s="189"/>
      <c r="G10" s="189"/>
      <c r="I10" s="190"/>
      <c r="L10" s="1"/>
      <c r="M10" s="1"/>
    </row>
    <row r="11" ht="15.75" customHeight="1">
      <c r="B11" s="4" t="s">
        <v>227</v>
      </c>
      <c r="C11" s="151">
        <f t="shared" ref="C11:D11" si="1">C8-C9</f>
        <v>365871</v>
      </c>
      <c r="D11" s="142">
        <f t="shared" si="1"/>
        <v>-47520</v>
      </c>
      <c r="E11" s="142">
        <f>IF(E7="","",E8-E9)</f>
        <v>299376</v>
      </c>
      <c r="F11" s="189"/>
      <c r="G11" s="189"/>
      <c r="I11" s="190"/>
    </row>
    <row r="12" ht="15.75" customHeight="1">
      <c r="B12" s="193" t="s">
        <v>69</v>
      </c>
      <c r="C12" s="188">
        <f>Data!C12</f>
        <v>0.1023135039</v>
      </c>
      <c r="D12" s="195">
        <f>D13/D8</f>
        <v>0.2415622896</v>
      </c>
      <c r="E12" s="194">
        <v>0.14</v>
      </c>
      <c r="F12" s="189"/>
      <c r="G12" s="189"/>
      <c r="I12" s="190"/>
      <c r="L12" s="1"/>
    </row>
    <row r="13" ht="15.75" customHeight="1">
      <c r="B13" s="4" t="s">
        <v>228</v>
      </c>
      <c r="C13" s="191">
        <f>Data!C11</f>
        <v>131130</v>
      </c>
      <c r="D13" s="173">
        <f>(2848+10184+58712)*2</f>
        <v>143488</v>
      </c>
      <c r="E13" s="142">
        <f>IF(E7="","",E8*E12)</f>
        <v>149688</v>
      </c>
      <c r="F13" s="189"/>
      <c r="G13" s="189"/>
      <c r="I13" s="190"/>
      <c r="L13" s="1"/>
      <c r="M13" s="1"/>
    </row>
    <row r="14" ht="15.75" customHeight="1">
      <c r="B14" s="196" t="s">
        <v>229</v>
      </c>
      <c r="C14" s="197">
        <f>Data!C13</f>
        <v>0.1831554505</v>
      </c>
      <c r="D14" s="198">
        <f>D16/D8</f>
        <v>-0.3215622896</v>
      </c>
      <c r="E14" s="198">
        <f>IF(E7="","",E16/E8)</f>
        <v>0.14</v>
      </c>
      <c r="F14" s="189"/>
      <c r="G14" s="189"/>
      <c r="I14" s="190"/>
      <c r="L14" s="1"/>
      <c r="M14" s="44"/>
    </row>
    <row r="15" ht="15.75" customHeight="1">
      <c r="B15" s="43" t="s">
        <v>230</v>
      </c>
      <c r="C15" s="199"/>
      <c r="D15" s="145" t="str">
        <f>IF(OR(C16&lt;=0,D16&lt;=0),"NA",D16/C16-1)</f>
        <v>NA</v>
      </c>
      <c r="E15" s="145" t="str">
        <f>IF(E7="","",IF(OR(D16&lt;=0,E16&lt;=0),"NA",E16/D16-1))</f>
        <v>NA</v>
      </c>
      <c r="F15" s="162">
        <v>0.4</v>
      </c>
      <c r="G15" s="145">
        <f>G19*G20</f>
        <v>0.045</v>
      </c>
      <c r="I15" s="200" t="s">
        <v>231</v>
      </c>
      <c r="K15" s="159"/>
      <c r="M15" s="159"/>
    </row>
    <row r="16" ht="15.75" customHeight="1">
      <c r="B16" s="4" t="s">
        <v>71</v>
      </c>
      <c r="C16" s="142">
        <f>IF(Data!D58="No",Data!C77,Data!D77)</f>
        <v>234741</v>
      </c>
      <c r="D16" s="142">
        <f>D11-D13</f>
        <v>-191008</v>
      </c>
      <c r="E16" s="142">
        <f>IF(E7="","",E11-E13)</f>
        <v>149688</v>
      </c>
      <c r="F16" s="142">
        <f>IF(E7="","",E16*(1+F15))</f>
        <v>209563.2</v>
      </c>
      <c r="G16" s="142">
        <f>IF(E7="",D16,F16)*(1+G15)</f>
        <v>218993.544</v>
      </c>
      <c r="I16" s="201" t="s">
        <v>232</v>
      </c>
      <c r="K16" s="151"/>
      <c r="M16" s="151"/>
    </row>
    <row r="17" ht="15.75" customHeight="1">
      <c r="B17" s="45" t="s">
        <v>233</v>
      </c>
      <c r="C17" s="202"/>
      <c r="D17" s="203">
        <v>0.25</v>
      </c>
      <c r="E17" s="204">
        <f>IF(E7="","",D17)</f>
        <v>0.25</v>
      </c>
      <c r="F17" s="204">
        <f>IF(E7="","",D17)</f>
        <v>0.25</v>
      </c>
      <c r="G17" s="145">
        <f>D17</f>
        <v>0.25</v>
      </c>
      <c r="I17" s="159"/>
      <c r="K17" s="44"/>
      <c r="M17" s="44"/>
    </row>
    <row r="18" ht="15.75" customHeight="1">
      <c r="B18" s="12" t="s">
        <v>73</v>
      </c>
      <c r="C18" s="205">
        <f>IF(Data!D58="No",Data!C80,Data!D80)</f>
        <v>176055.75</v>
      </c>
      <c r="D18" s="142">
        <f>IF(D16&lt;=0,D16,D16*(1-D17))</f>
        <v>-191008</v>
      </c>
      <c r="E18" s="142">
        <f>IF(E7="","",IF(E16&lt;=0,E16,E16*(1-E17)))</f>
        <v>112266</v>
      </c>
      <c r="F18" s="142">
        <f>IF(E7="","",IF(F16&lt;=0,F16,F16*(1-F17)))</f>
        <v>157172.4</v>
      </c>
      <c r="G18" s="205">
        <f>G16*(1-G17)</f>
        <v>164245.158</v>
      </c>
      <c r="I18" s="206"/>
      <c r="K18" s="151"/>
      <c r="M18" s="151"/>
    </row>
    <row r="19" ht="15.75" customHeight="1">
      <c r="B19" s="45" t="s">
        <v>97</v>
      </c>
      <c r="C19" s="202"/>
      <c r="D19" s="145" t="str">
        <f>IF(D16="","",IF(OR(D15="NA",C20&lt;=0),"NA",D15/C20))</f>
        <v>NA</v>
      </c>
      <c r="E19" s="145" t="str">
        <f>IF(E7="","",IF(OR(E15="NA",D20&lt;=0),"NA",E15/D20))</f>
        <v>NA</v>
      </c>
      <c r="F19" s="145">
        <f>IF(E7="","",IF(OR(F15&lt;0,E20&lt;=0),"NA",F15/E20))</f>
        <v>3.333333333</v>
      </c>
      <c r="G19" s="145">
        <f>G23</f>
        <v>0.09</v>
      </c>
      <c r="I19" s="190" t="s">
        <v>234</v>
      </c>
      <c r="K19" s="44"/>
      <c r="M19" s="44"/>
    </row>
    <row r="20" ht="15.75" customHeight="1">
      <c r="B20" s="45" t="s">
        <v>235</v>
      </c>
      <c r="C20" s="145">
        <f t="shared" ref="C20:D20" si="2">C21/C18</f>
        <v>0.04796776021</v>
      </c>
      <c r="D20" s="145">
        <f t="shared" si="2"/>
        <v>-0.0471184453</v>
      </c>
      <c r="E20" s="162">
        <v>0.12</v>
      </c>
      <c r="F20" s="162">
        <v>0.18</v>
      </c>
      <c r="G20" s="145">
        <f>E4/G19</f>
        <v>0.5</v>
      </c>
      <c r="H20" s="207"/>
      <c r="I20" s="159"/>
      <c r="J20" s="159"/>
    </row>
    <row r="21" ht="15.0" customHeight="1">
      <c r="B21" s="176" t="s">
        <v>132</v>
      </c>
      <c r="C21" s="142">
        <f>IF(Data!D58="No",Data!C79,Data!D79)</f>
        <v>8445</v>
      </c>
      <c r="D21" s="173">
        <v>9000.0</v>
      </c>
      <c r="E21" s="142">
        <f>IF(E7="","",E20*E18)</f>
        <v>13471.92</v>
      </c>
      <c r="F21" s="142">
        <f>IF(F16="","",F20*F18)</f>
        <v>28291.032</v>
      </c>
      <c r="G21" s="208"/>
      <c r="H21" s="151"/>
      <c r="I21" s="206"/>
      <c r="J21" s="151"/>
      <c r="M21" s="151"/>
    </row>
    <row r="22" ht="15.75" customHeight="1">
      <c r="B22" s="209" t="s">
        <v>236</v>
      </c>
      <c r="C22" s="210"/>
      <c r="D22" s="211">
        <f>IF(D18="","",D18-D21)</f>
        <v>-200008</v>
      </c>
      <c r="E22" s="211">
        <f>IF(E7="","",E18-E21)</f>
        <v>98794.08</v>
      </c>
      <c r="F22" s="211">
        <f>IF(E7="","",F18-F21)</f>
        <v>128881.368</v>
      </c>
      <c r="G22" s="147">
        <f>G18*(1-G20)</f>
        <v>82122.579</v>
      </c>
      <c r="H22" s="151"/>
      <c r="I22" s="206"/>
      <c r="J22" s="151"/>
      <c r="M22" s="151"/>
    </row>
    <row r="23" ht="15.75" customHeight="1">
      <c r="B23" s="45" t="s">
        <v>237</v>
      </c>
      <c r="C23" s="199"/>
      <c r="D23" s="145">
        <f>Dashboard!G12</f>
        <v>0.075</v>
      </c>
      <c r="E23" s="145">
        <f>IF(E7="","",D23)</f>
        <v>0.075</v>
      </c>
      <c r="F23" s="145">
        <f>IF(E7="","",D23)</f>
        <v>0.075</v>
      </c>
      <c r="G23" s="145">
        <f>Dashboard!G14</f>
        <v>0.09</v>
      </c>
      <c r="H23" s="44"/>
      <c r="I23" s="159"/>
      <c r="J23" s="44"/>
      <c r="M23" s="44"/>
    </row>
    <row r="24" ht="15.75" customHeight="1">
      <c r="B24" s="212" t="s">
        <v>238</v>
      </c>
      <c r="C24" s="213"/>
      <c r="D24" s="214">
        <f>IF(D16="","",1+D23)</f>
        <v>1.075</v>
      </c>
      <c r="E24" s="214">
        <f>IF(E7="","",(1+D23)*(1+E23))</f>
        <v>1.155625</v>
      </c>
      <c r="F24" s="214">
        <f>IF(E7="","",(1+D23)*(1+E23)*(1+F23))</f>
        <v>1.242296875</v>
      </c>
      <c r="G24" s="199"/>
      <c r="H24" s="44"/>
      <c r="I24" s="159"/>
      <c r="J24" s="44"/>
      <c r="M24" s="44"/>
    </row>
    <row r="25" ht="15.75" customHeight="1">
      <c r="B25" s="33" t="s">
        <v>239</v>
      </c>
      <c r="C25" s="215"/>
      <c r="D25" s="147">
        <f>IF(D16="","",D22/D24)</f>
        <v>-186053.9535</v>
      </c>
      <c r="E25" s="147">
        <f>IF(E7="","",E22/E24)</f>
        <v>85489.73932</v>
      </c>
      <c r="F25" s="147">
        <f>IF(E7="","",F22/F24)</f>
        <v>103744.4194</v>
      </c>
      <c r="G25" s="199"/>
      <c r="H25" s="151"/>
      <c r="I25" s="206"/>
      <c r="J25" s="151"/>
      <c r="M25" s="151"/>
    </row>
    <row r="26" ht="15.75" customHeight="1"/>
    <row r="27" ht="15.75" customHeight="1">
      <c r="B27" s="216" t="s">
        <v>240</v>
      </c>
      <c r="C27" s="4" t="s">
        <v>241</v>
      </c>
      <c r="F27" s="1"/>
    </row>
    <row r="28" ht="15.75" customHeight="1">
      <c r="B28" s="4" t="s">
        <v>242</v>
      </c>
      <c r="C28" s="151">
        <f>G22/(G23-G15)</f>
        <v>1824946.2</v>
      </c>
      <c r="D28" s="55" t="s">
        <v>243</v>
      </c>
      <c r="E28" s="217" t="s">
        <v>244</v>
      </c>
      <c r="F28" s="145">
        <f>G18/C28</f>
        <v>0.09</v>
      </c>
    </row>
    <row r="29" ht="15.75" customHeight="1">
      <c r="B29" s="155" t="s">
        <v>245</v>
      </c>
      <c r="C29" s="218">
        <f>SUM(D25:F25)</f>
        <v>3180.205215</v>
      </c>
      <c r="D29" s="219">
        <f>C29/C33</f>
        <v>0.0006997475263</v>
      </c>
      <c r="F29" s="4"/>
      <c r="M29" s="114"/>
    </row>
    <row r="30" ht="15.75" customHeight="1">
      <c r="B30" s="155" t="s">
        <v>246</v>
      </c>
      <c r="C30" s="151">
        <f>C28/(IF(E7="",D24,F24)*(1+G23))</f>
        <v>1347715.351</v>
      </c>
      <c r="D30" s="219">
        <f>1-D29</f>
        <v>0.9993002525</v>
      </c>
      <c r="F30" s="4"/>
      <c r="I30" s="3"/>
      <c r="L30" s="4"/>
      <c r="M30" s="159"/>
    </row>
    <row r="31" ht="15.75" customHeight="1">
      <c r="B31" s="155" t="s">
        <v>247</v>
      </c>
      <c r="C31" s="151">
        <f>'Asset Model'!D55</f>
        <v>1590248.95</v>
      </c>
      <c r="F31" s="4"/>
      <c r="G31" s="159"/>
      <c r="I31" s="45"/>
      <c r="L31" s="220"/>
      <c r="M31" s="221"/>
    </row>
    <row r="32" ht="15.75" customHeight="1">
      <c r="B32" s="155" t="s">
        <v>248</v>
      </c>
      <c r="C32" s="151">
        <f>Data!C28</f>
        <v>1603645</v>
      </c>
      <c r="F32" s="4"/>
      <c r="I32" s="45"/>
      <c r="L32" s="44"/>
    </row>
    <row r="33" ht="15.75" customHeight="1">
      <c r="B33" s="4" t="s">
        <v>249</v>
      </c>
      <c r="C33" s="218">
        <f>C29+C30+C31+C32</f>
        <v>4544789.506</v>
      </c>
      <c r="F33" s="4"/>
      <c r="I33" s="4"/>
      <c r="J33" s="45"/>
      <c r="L33" s="220"/>
    </row>
    <row r="34" ht="15.75" customHeight="1">
      <c r="B34" s="4" t="s">
        <v>250</v>
      </c>
      <c r="C34" s="151">
        <f>'Asset Model'!D52</f>
        <v>115355</v>
      </c>
      <c r="F34" s="4"/>
    </row>
    <row r="35" ht="15.75" customHeight="1">
      <c r="B35" s="4" t="s">
        <v>251</v>
      </c>
      <c r="C35" s="222">
        <f>C33-C34</f>
        <v>4429434.506</v>
      </c>
      <c r="F35" s="4"/>
    </row>
    <row r="36" ht="15.75" customHeight="1">
      <c r="B36" s="4" t="s">
        <v>252</v>
      </c>
      <c r="C36" s="151">
        <f>'Asset Model'!E43</f>
        <v>0</v>
      </c>
      <c r="F36" s="4"/>
    </row>
    <row r="37" ht="15.75" customHeight="1">
      <c r="B37" s="4" t="s">
        <v>253</v>
      </c>
      <c r="C37" s="223">
        <f>C35-C36</f>
        <v>4429434.506</v>
      </c>
      <c r="D37" s="224" t="str">
        <f>Dashboard!C13</f>
        <v>HKD</v>
      </c>
      <c r="E37" s="225" t="s">
        <v>145</v>
      </c>
      <c r="F37" s="226">
        <f>IF(Data!F3&lt;=0,"NNI",C38/((Data!F3*Exchange_Rate)/(Common_Shares/Data!C4)))</f>
        <v>9.675204737</v>
      </c>
      <c r="H37" s="1"/>
      <c r="I37" s="1"/>
    </row>
    <row r="38" ht="15.75" customHeight="1">
      <c r="B38" s="4" t="s">
        <v>254</v>
      </c>
      <c r="C38" s="227">
        <f>C37*Data!C4/Common_Shares*Exchange_Rate</f>
        <v>2.410511232</v>
      </c>
      <c r="D38" s="228" t="str">
        <f>Dashboard!D7</f>
        <v>HKD</v>
      </c>
      <c r="E38" s="225" t="s">
        <v>147</v>
      </c>
      <c r="F38" s="226">
        <f>C38/(Data!C26*Exchange_Rate*Data!C4/Common_Shares)</f>
        <v>0.9527273972</v>
      </c>
      <c r="H38" s="229"/>
      <c r="I38" s="1"/>
    </row>
    <row r="39" ht="15.75" customHeight="1"/>
    <row r="40" ht="15.75" customHeight="1">
      <c r="B40" s="216" t="s">
        <v>255</v>
      </c>
      <c r="I40" s="4"/>
      <c r="J40" s="44"/>
    </row>
    <row r="41" ht="15.75" customHeight="1">
      <c r="B41" s="1"/>
      <c r="C41" s="3" t="s">
        <v>256</v>
      </c>
      <c r="D41" s="156" t="s">
        <v>257</v>
      </c>
      <c r="E41" s="156" t="s">
        <v>258</v>
      </c>
      <c r="F41" s="156" t="s">
        <v>259</v>
      </c>
      <c r="G41" s="156" t="s">
        <v>260</v>
      </c>
      <c r="I41" s="230" t="s">
        <v>221</v>
      </c>
    </row>
    <row r="42" ht="15.75" hidden="1" customHeight="1">
      <c r="D42" s="231">
        <f>G18/F28</f>
        <v>1824946.2</v>
      </c>
      <c r="E42" s="232"/>
      <c r="F42" s="188"/>
      <c r="I42" s="232"/>
    </row>
    <row r="43" ht="15.75" customHeight="1">
      <c r="B43" s="1" t="s">
        <v>261</v>
      </c>
      <c r="C43" s="145">
        <f>F28</f>
        <v>0.09</v>
      </c>
      <c r="D43" s="233">
        <v>1824946.1999999997</v>
      </c>
      <c r="E43" s="234">
        <f>(D43/(IF(E$7="",D$24,F$24)*(1+G$23))+C$31+C$32-C$34-C$36+C$29)*Data!C$4/Common_Shares*Exchange_Rate</f>
        <v>2.410511232</v>
      </c>
      <c r="F43" s="235">
        <f>IF(Data!F$3&lt;=0,"NNI",E43/((Data!F$3*Exchange_Rate)/(Common_Shares/Data!C$4)))</f>
        <v>9.675204737</v>
      </c>
      <c r="G43" s="235">
        <f>E43/(Data!C$26*Exchange_Rate*Data!C$4/Common_Shares)</f>
        <v>0.9527273972</v>
      </c>
      <c r="I43" s="190" t="s">
        <v>262</v>
      </c>
    </row>
    <row r="44" ht="15.75" customHeight="1">
      <c r="C44" s="145">
        <f t="shared" ref="C44:C45" si="3">C43-((C$43-C$46)/3)</f>
        <v>0.08666666667</v>
      </c>
      <c r="D44" s="191">
        <v>1895136.438461538</v>
      </c>
      <c r="E44" s="236">
        <f>(D44/(IF(E$7="",D$24,F$24)*(1+G$23))+C$31+C$32-C$34-C$36)*Data!C$4/Common_Shares*Exchange_Rate</f>
        <v>2.436989425</v>
      </c>
      <c r="F44" s="237">
        <f>IF(Data!F$3&lt;=0,"NNI",E44/((Data!F$3*Exchange_Rate)/(Common_Shares/Data!C$4)))</f>
        <v>9.781481755</v>
      </c>
      <c r="G44" s="237">
        <f>E44/(Data!C$26*Exchange_Rate*Data!C$4/Common_Shares)</f>
        <v>0.9631926049</v>
      </c>
      <c r="I44" s="190"/>
    </row>
    <row r="45" ht="15.75" customHeight="1">
      <c r="C45" s="145">
        <f t="shared" si="3"/>
        <v>0.08333333333</v>
      </c>
      <c r="D45" s="191">
        <v>1997576.2459459454</v>
      </c>
      <c r="E45" s="236">
        <f>(D45/(IF(E$7="",D$24,F$24)*(1+G$23))+C$31+C$32-C$34-C$36)*Data!C$4/Common_Shares*Exchange_Rate</f>
        <v>2.478159129</v>
      </c>
      <c r="F45" s="237">
        <f>IF(Data!F$3&lt;=0,"NNI",E45/((Data!F$3*Exchange_Rate)/(Common_Shares/Data!C$4)))</f>
        <v>9.946726913</v>
      </c>
      <c r="G45" s="237">
        <f>E45/(Data!C$26*Exchange_Rate*Data!C$4/Common_Shares)</f>
        <v>0.9794644662</v>
      </c>
      <c r="I45" s="190"/>
    </row>
    <row r="46" ht="15.75" customHeight="1">
      <c r="B46" s="1" t="s">
        <v>263</v>
      </c>
      <c r="C46" s="162">
        <v>0.08</v>
      </c>
      <c r="D46" s="191">
        <v>2053064.4749999996</v>
      </c>
      <c r="E46" s="236">
        <f>(D46/(IF(E$7="",D$24,F$24)*(1+G$23))+C$31+C$32-C$34-C$36)*Data!C$4/Common_Shares*Exchange_Rate</f>
        <v>2.500459385</v>
      </c>
      <c r="F46" s="237">
        <f>IF(Data!F$3&lt;=0,"NNI",E46/((Data!F$3*Exchange_Rate)/(Common_Shares/Data!C$4)))</f>
        <v>10.03623471</v>
      </c>
      <c r="G46" s="237">
        <f>E46/(Data!C$26*Exchange_Rate*Data!C$4/Common_Shares)</f>
        <v>0.988278391</v>
      </c>
      <c r="I46" s="190" t="s">
        <v>264</v>
      </c>
    </row>
    <row r="47" ht="15.0" customHeight="1"/>
    <row r="48" ht="15.75" hidden="1" customHeight="1">
      <c r="B48" s="1" t="s">
        <v>265</v>
      </c>
      <c r="C48" s="3" t="s">
        <v>266</v>
      </c>
      <c r="D48" s="156" t="s">
        <v>257</v>
      </c>
      <c r="E48" s="156" t="s">
        <v>97</v>
      </c>
      <c r="F48" s="156" t="s">
        <v>256</v>
      </c>
      <c r="G48" s="156" t="s">
        <v>258</v>
      </c>
      <c r="I48" s="230" t="s">
        <v>221</v>
      </c>
    </row>
    <row r="49" ht="15.75" customHeight="1">
      <c r="B49" s="238" t="s">
        <v>267</v>
      </c>
      <c r="C49" s="12" t="s">
        <v>268</v>
      </c>
      <c r="D49" s="239">
        <f>E43</f>
        <v>2.410511232</v>
      </c>
      <c r="E49" s="51" t="str">
        <f>IF(D49&lt;F49,"&lt;",IF(D49=F49,"=","&gt;"))</f>
        <v>&lt;</v>
      </c>
      <c r="F49" s="240">
        <f>E45</f>
        <v>2.478159129</v>
      </c>
      <c r="G49" s="241"/>
    </row>
    <row r="50" ht="15.75" customHeight="1">
      <c r="B50" s="242"/>
      <c r="C50" s="1"/>
      <c r="D50" s="1"/>
      <c r="E50" s="1"/>
      <c r="F50" s="243"/>
      <c r="G50" s="241"/>
    </row>
    <row r="51" ht="15.75" customHeight="1">
      <c r="B51" s="244" t="s">
        <v>269</v>
      </c>
      <c r="C51" s="245">
        <f>MIN(D49,F49)+(ABS(D49-F49)*'Qualitative Analysis'!E50)</f>
        <v>2.4533549</v>
      </c>
      <c r="D51" s="1" t="str">
        <f>D38</f>
        <v>HKD</v>
      </c>
      <c r="E51" s="225" t="s">
        <v>145</v>
      </c>
      <c r="F51" s="246">
        <f>IF(Data!F3&lt;=0,"NNI",C51/((Data!F3*Exchange_Rate)/(Common_Shares/Data!C4)))</f>
        <v>9.847168782</v>
      </c>
    </row>
    <row r="52" ht="15.75" customHeight="1">
      <c r="B52" s="247"/>
      <c r="C52" s="33"/>
      <c r="D52" s="33"/>
      <c r="E52" s="248" t="s">
        <v>147</v>
      </c>
      <c r="F52" s="30">
        <f>C51/(Data!C26*Exchange_Rate*Data!C4/Common_Shares)</f>
        <v>0.9696608742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I30:K30"/>
    <mergeCell ref="I31:K31"/>
    <mergeCell ref="I32:K32"/>
    <mergeCell ref="J33:K33"/>
  </mergeCells>
  <conditionalFormatting sqref="E7:G25">
    <cfRule type="containsBlanks" dxfId="3" priority="1">
      <formula>LEN(TRIM(E7))=0</formula>
    </cfRule>
  </conditionalFormatting>
  <conditionalFormatting sqref="D43:F46">
    <cfRule type="cellIs" dxfId="4" priority="2" operator="equal">
      <formula>$F$49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62.63"/>
    <col customWidth="1" min="3" max="4" width="22.63"/>
    <col customWidth="1" min="5" max="5" width="30.63"/>
  </cols>
  <sheetData>
    <row r="2">
      <c r="B2" s="2" t="s">
        <v>270</v>
      </c>
      <c r="C2" s="249"/>
      <c r="D2" s="4"/>
      <c r="E2" s="4"/>
    </row>
    <row r="3" ht="15.0" customHeight="1">
      <c r="B3" s="4" t="s">
        <v>271</v>
      </c>
      <c r="C3" s="4"/>
      <c r="D3" s="250">
        <f t="shared" ref="D3:D6" si="1">IF(LEFT(E3,1)="H",1,IF(LEFT(E3,1)="C",-1,0))</f>
        <v>-1</v>
      </c>
      <c r="E3" s="174" t="s">
        <v>272</v>
      </c>
    </row>
    <row r="4" ht="15.0" customHeight="1">
      <c r="B4" s="4" t="s">
        <v>273</v>
      </c>
      <c r="C4" s="4"/>
      <c r="D4" s="250">
        <f t="shared" si="1"/>
        <v>-1</v>
      </c>
      <c r="E4" s="174" t="s">
        <v>274</v>
      </c>
    </row>
    <row r="5" ht="15.0" customHeight="1">
      <c r="B5" s="4" t="s">
        <v>275</v>
      </c>
      <c r="C5" s="4"/>
      <c r="D5" s="250">
        <f t="shared" si="1"/>
        <v>-1</v>
      </c>
      <c r="E5" s="174" t="s">
        <v>276</v>
      </c>
    </row>
    <row r="6" ht="15.0" customHeight="1">
      <c r="B6" s="4" t="s">
        <v>277</v>
      </c>
      <c r="C6" s="4"/>
      <c r="D6" s="250">
        <f t="shared" si="1"/>
        <v>-1</v>
      </c>
      <c r="E6" s="174" t="s">
        <v>278</v>
      </c>
    </row>
    <row r="7" ht="15.0" customHeight="1">
      <c r="B7" s="193" t="s">
        <v>279</v>
      </c>
      <c r="D7" s="250">
        <f>IF(LEFT(E7,1)="H",2,IF(LEFT(E7,1)="C",-1,0))</f>
        <v>-1</v>
      </c>
      <c r="E7" s="251" t="str">
        <f>IF(SUM(D3:D6)&gt;=3, "Hot", IF(SUM(D3:FC6)&lt;=-3,"Cold", "Mixed"))</f>
        <v>Cold</v>
      </c>
    </row>
    <row r="8" ht="15.0" customHeight="1">
      <c r="B8" s="4" t="s">
        <v>280</v>
      </c>
      <c r="C8" s="4"/>
      <c r="D8" s="250">
        <f t="shared" ref="D8:D11" si="2">IF(LEFT(E8,1)="H",1,IF(LEFT(E8,1)="C",-1,0))</f>
        <v>-1</v>
      </c>
      <c r="E8" s="174" t="s">
        <v>281</v>
      </c>
    </row>
    <row r="9" ht="15.0" customHeight="1">
      <c r="B9" s="4" t="s">
        <v>282</v>
      </c>
      <c r="C9" s="4"/>
      <c r="D9" s="250">
        <f t="shared" si="2"/>
        <v>-1</v>
      </c>
      <c r="E9" s="174" t="s">
        <v>283</v>
      </c>
    </row>
    <row r="10" ht="15.0" customHeight="1">
      <c r="B10" s="4" t="s">
        <v>284</v>
      </c>
      <c r="C10" s="4"/>
      <c r="D10" s="250">
        <f t="shared" si="2"/>
        <v>0</v>
      </c>
      <c r="E10" s="174" t="s">
        <v>285</v>
      </c>
    </row>
    <row r="11" ht="15.0" customHeight="1">
      <c r="B11" s="4" t="s">
        <v>286</v>
      </c>
      <c r="C11" s="4"/>
      <c r="D11" s="250">
        <f t="shared" si="2"/>
        <v>-1</v>
      </c>
      <c r="E11" s="174" t="s">
        <v>287</v>
      </c>
    </row>
    <row r="12" ht="15.0" customHeight="1">
      <c r="B12" s="193" t="s">
        <v>288</v>
      </c>
      <c r="D12" s="250">
        <f>IF(LEFT(E12,1)="H",2,IF(LEFT(E12,1)="C",-1,0))</f>
        <v>-1</v>
      </c>
      <c r="E12" s="251" t="str">
        <f>IF(SUM(D8:D11)&gt;=3, "Hot", IF(SUM(D8:D11)&lt;=-3,"Cold", "Mixed"))</f>
        <v>Cold</v>
      </c>
    </row>
    <row r="13" ht="15.0" customHeight="1">
      <c r="B13" s="4" t="s">
        <v>289</v>
      </c>
      <c r="C13" s="4"/>
      <c r="D13" s="250">
        <f t="shared" ref="D13:D16" si="3">IF(LEFT(E13,1)="H",1,IF(LEFT(E13,1)="C",-1,0))</f>
        <v>-1</v>
      </c>
      <c r="E13" s="174" t="s">
        <v>290</v>
      </c>
    </row>
    <row r="14" ht="15.0" customHeight="1">
      <c r="B14" s="4" t="s">
        <v>291</v>
      </c>
      <c r="C14" s="4"/>
      <c r="D14" s="250">
        <f t="shared" si="3"/>
        <v>-1</v>
      </c>
      <c r="E14" s="174" t="s">
        <v>292</v>
      </c>
    </row>
    <row r="15" ht="15.0" customHeight="1">
      <c r="B15" s="4" t="s">
        <v>293</v>
      </c>
      <c r="C15" s="4"/>
      <c r="D15" s="250">
        <f t="shared" si="3"/>
        <v>-1</v>
      </c>
      <c r="E15" s="174" t="s">
        <v>294</v>
      </c>
    </row>
    <row r="16" ht="15.0" customHeight="1">
      <c r="B16" s="4" t="s">
        <v>295</v>
      </c>
      <c r="C16" s="4"/>
      <c r="D16" s="250">
        <f t="shared" si="3"/>
        <v>-1</v>
      </c>
      <c r="E16" s="174" t="s">
        <v>296</v>
      </c>
    </row>
    <row r="17" ht="15.0" customHeight="1">
      <c r="B17" s="193" t="s">
        <v>297</v>
      </c>
      <c r="D17" s="250">
        <f>IF(LEFT(E17,1)="H",2,IF(LEFT(E17,1)="C",-1,0))</f>
        <v>-1</v>
      </c>
      <c r="E17" s="251" t="str">
        <f>IF(SUM(D13:D16)&gt;=3, "Hot", IF(SUM(D13:D16)&lt;=-3,"Cold", "Mixed"))</f>
        <v>Cold</v>
      </c>
    </row>
    <row r="18" ht="15.0" customHeight="1">
      <c r="B18" s="4" t="s">
        <v>298</v>
      </c>
      <c r="C18" s="4"/>
      <c r="D18" s="250">
        <f t="shared" ref="D18:D21" si="4">IF(LEFT(E18,1)="H",1,IF(LEFT(E18,1)="C",-1,0))</f>
        <v>-1</v>
      </c>
      <c r="E18" s="174" t="s">
        <v>299</v>
      </c>
    </row>
    <row r="19" ht="15.0" customHeight="1">
      <c r="B19" s="4" t="s">
        <v>300</v>
      </c>
      <c r="C19" s="4"/>
      <c r="D19" s="250">
        <f t="shared" si="4"/>
        <v>-1</v>
      </c>
      <c r="E19" s="174" t="s">
        <v>301</v>
      </c>
    </row>
    <row r="20" ht="15.0" customHeight="1">
      <c r="B20" s="4" t="s">
        <v>302</v>
      </c>
      <c r="C20" s="4"/>
      <c r="D20" s="250">
        <f t="shared" si="4"/>
        <v>-1</v>
      </c>
      <c r="E20" s="174" t="s">
        <v>303</v>
      </c>
    </row>
    <row r="21" ht="15.0" customHeight="1">
      <c r="B21" s="4" t="s">
        <v>304</v>
      </c>
      <c r="C21" s="4"/>
      <c r="D21" s="250">
        <f t="shared" si="4"/>
        <v>-1</v>
      </c>
      <c r="E21" s="174" t="s">
        <v>305</v>
      </c>
    </row>
    <row r="22" ht="15.0" customHeight="1">
      <c r="B22" s="193" t="s">
        <v>306</v>
      </c>
      <c r="D22" s="250">
        <f>IF(LEFT(E22,1)="H",2,IF(LEFT(E22,1)="C",-1,0))</f>
        <v>-1</v>
      </c>
      <c r="E22" s="251" t="str">
        <f>IF(SUM(D18:D21)&gt;=3, "Hot", IF(SUM(D18:D21)&lt;=-3,"Cold", "Mixed"))</f>
        <v>Cold</v>
      </c>
      <c r="F22" s="252">
        <f>SUM(D7,D12,D17,D22)</f>
        <v>-4</v>
      </c>
    </row>
    <row r="24">
      <c r="B24" s="2" t="s">
        <v>307</v>
      </c>
      <c r="C24" s="2"/>
    </row>
    <row r="25">
      <c r="B25" s="253" t="s">
        <v>308</v>
      </c>
      <c r="C25" s="193"/>
    </row>
    <row r="26">
      <c r="B26" s="193" t="s">
        <v>309</v>
      </c>
      <c r="C26" s="193"/>
    </row>
    <row r="27">
      <c r="B27" s="4" t="s">
        <v>310</v>
      </c>
      <c r="D27" s="254">
        <f t="shared" ref="D27:D31" si="5">IF(E27="Strongly disagree",0,IF(E27="disagree",1,IF(E27="unclear",2,IF(E27="agree",3,4))))</f>
        <v>0</v>
      </c>
      <c r="E27" s="174" t="s">
        <v>311</v>
      </c>
    </row>
    <row r="28">
      <c r="B28" s="4" t="s">
        <v>312</v>
      </c>
      <c r="D28" s="254">
        <f t="shared" si="5"/>
        <v>2</v>
      </c>
      <c r="E28" s="174" t="s">
        <v>313</v>
      </c>
    </row>
    <row r="29">
      <c r="B29" s="4" t="s">
        <v>314</v>
      </c>
      <c r="D29" s="254">
        <f t="shared" si="5"/>
        <v>2</v>
      </c>
      <c r="E29" s="174" t="s">
        <v>313</v>
      </c>
    </row>
    <row r="30">
      <c r="B30" s="4" t="s">
        <v>315</v>
      </c>
      <c r="D30" s="254">
        <f t="shared" si="5"/>
        <v>4</v>
      </c>
      <c r="E30" s="174" t="s">
        <v>316</v>
      </c>
    </row>
    <row r="31">
      <c r="B31" s="4" t="s">
        <v>317</v>
      </c>
      <c r="D31" s="254">
        <f t="shared" si="5"/>
        <v>3</v>
      </c>
      <c r="E31" s="174" t="s">
        <v>318</v>
      </c>
    </row>
    <row r="32">
      <c r="B32" s="193" t="s">
        <v>319</v>
      </c>
      <c r="D32" s="93"/>
      <c r="E32" s="114"/>
    </row>
    <row r="33">
      <c r="B33" s="4" t="s">
        <v>320</v>
      </c>
      <c r="D33" s="254">
        <f t="shared" ref="D33:D37" si="6">IF(E33="Strongly disagree",0,IF(E33="disagree",1,IF(E33="unclear",2,IF(E33="agree",3,4))))</f>
        <v>4</v>
      </c>
      <c r="E33" s="25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</row>
    <row r="34">
      <c r="B34" s="4" t="s">
        <v>321</v>
      </c>
      <c r="D34" s="254">
        <f t="shared" si="6"/>
        <v>2</v>
      </c>
      <c r="E34" s="174" t="s">
        <v>313</v>
      </c>
    </row>
    <row r="35" ht="15.0" customHeight="1">
      <c r="B35" s="4" t="s">
        <v>322</v>
      </c>
      <c r="D35" s="254">
        <f t="shared" si="6"/>
        <v>2</v>
      </c>
      <c r="E35" s="174" t="s">
        <v>313</v>
      </c>
    </row>
    <row r="36" ht="15.0" customHeight="1">
      <c r="B36" s="4" t="s">
        <v>323</v>
      </c>
      <c r="D36" s="254">
        <f t="shared" si="6"/>
        <v>2</v>
      </c>
      <c r="E36" s="174" t="s">
        <v>313</v>
      </c>
    </row>
    <row r="37" ht="15.0" customHeight="1">
      <c r="B37" s="4" t="s">
        <v>324</v>
      </c>
      <c r="D37" s="254">
        <f t="shared" si="6"/>
        <v>3</v>
      </c>
      <c r="E37" s="174" t="s">
        <v>318</v>
      </c>
    </row>
    <row r="38" ht="15.0" customHeight="1">
      <c r="B38" s="193" t="s">
        <v>325</v>
      </c>
      <c r="D38" s="93"/>
      <c r="E38" s="114"/>
    </row>
    <row r="39">
      <c r="B39" s="4" t="s">
        <v>326</v>
      </c>
      <c r="D39" s="254">
        <f t="shared" ref="D39:D43" si="7">IF(E39="Strongly disagree",0,IF(E39="disagree",1,IF(E39="unclear",2,IF(E39="agree",3,4))))</f>
        <v>3</v>
      </c>
      <c r="E39" s="174" t="s">
        <v>318</v>
      </c>
    </row>
    <row r="40" ht="15.0" customHeight="1">
      <c r="B40" s="4" t="s">
        <v>327</v>
      </c>
      <c r="D40" s="254">
        <f t="shared" si="7"/>
        <v>2</v>
      </c>
      <c r="E40" s="174" t="s">
        <v>313</v>
      </c>
    </row>
    <row r="41" ht="15.0" customHeight="1">
      <c r="B41" s="4" t="s">
        <v>328</v>
      </c>
      <c r="D41" s="254">
        <f t="shared" si="7"/>
        <v>3</v>
      </c>
      <c r="E41" s="174" t="s">
        <v>318</v>
      </c>
    </row>
    <row r="42" ht="15.0" customHeight="1">
      <c r="B42" s="4" t="s">
        <v>329</v>
      </c>
      <c r="D42" s="254">
        <f t="shared" si="7"/>
        <v>3</v>
      </c>
      <c r="E42" s="174" t="s">
        <v>318</v>
      </c>
    </row>
    <row r="43">
      <c r="B43" s="4" t="s">
        <v>330</v>
      </c>
      <c r="D43" s="254">
        <f t="shared" si="7"/>
        <v>3</v>
      </c>
      <c r="E43" s="174" t="s">
        <v>318</v>
      </c>
    </row>
    <row r="44">
      <c r="B44" s="193" t="s">
        <v>331</v>
      </c>
      <c r="D44" s="93"/>
      <c r="E44" s="114"/>
    </row>
    <row r="45">
      <c r="B45" s="4" t="s">
        <v>332</v>
      </c>
      <c r="D45" s="254">
        <f t="shared" ref="D45:D48" si="8">IF(E45="Strongly disagree",0,IF(E45="disagree",1,IF(E45="unclear",2,IF(E45="agree",3,4))))</f>
        <v>4</v>
      </c>
      <c r="E45" s="251" t="str">
        <f>E62</f>
        <v>Low</v>
      </c>
    </row>
    <row r="46">
      <c r="B46" s="4" t="s">
        <v>333</v>
      </c>
      <c r="D46" s="254">
        <f t="shared" si="8"/>
        <v>4</v>
      </c>
      <c r="E46" s="251" t="str">
        <f>E72</f>
        <v>Very Low</v>
      </c>
    </row>
    <row r="47">
      <c r="B47" s="4" t="s">
        <v>334</v>
      </c>
      <c r="D47" s="254">
        <f t="shared" si="8"/>
        <v>4</v>
      </c>
      <c r="E47" s="251" t="str">
        <f>E80</f>
        <v>Medium</v>
      </c>
    </row>
    <row r="48">
      <c r="B48" s="4" t="s">
        <v>335</v>
      </c>
      <c r="D48" s="254">
        <f t="shared" si="8"/>
        <v>4</v>
      </c>
      <c r="E48" s="251" t="str">
        <f>E90</f>
        <v>Medium</v>
      </c>
    </row>
    <row r="49">
      <c r="B49" s="4" t="s">
        <v>336</v>
      </c>
      <c r="E49" s="251" t="str">
        <f>E97</f>
        <v>Very High</v>
      </c>
    </row>
    <row r="50">
      <c r="B50" s="256" t="s">
        <v>337</v>
      </c>
      <c r="E50" s="257">
        <f>AVERAGE(AVERAGE(D27:D31)/4,AVERAGE(D33:D37)/4,AVERAGE(D39:D43)/4,D109)</f>
        <v>0.6333333333</v>
      </c>
    </row>
    <row r="51">
      <c r="D51" s="258"/>
    </row>
    <row r="52">
      <c r="B52" s="253" t="s">
        <v>338</v>
      </c>
      <c r="C52" s="4"/>
      <c r="D52" s="93"/>
      <c r="E52" s="114"/>
    </row>
    <row r="53">
      <c r="B53" s="4" t="s">
        <v>339</v>
      </c>
      <c r="D53" s="254">
        <f>IF(E53="Strongly disagree",0,IF(E53="disagree",1,IF(E53="unclear",2,IF(E53="agree",3,4))))</f>
        <v>2</v>
      </c>
      <c r="E53" s="174" t="s">
        <v>313</v>
      </c>
    </row>
    <row r="54">
      <c r="B54" s="1" t="s">
        <v>340</v>
      </c>
      <c r="C54" s="4"/>
      <c r="D54" s="254">
        <f>D27</f>
        <v>0</v>
      </c>
      <c r="E54" s="255" t="str">
        <f t="shared" ref="E54:E56" si="9">IF(D54&gt;=3.5,"Strongly agree",IF(D54&gt;=2.5,"agree",IF(D54&gt;=1.5,"unclear",IF(D54&gt;=0.5,"disagree","Strongly disagree"))))</f>
        <v>Strongly disagree</v>
      </c>
    </row>
    <row r="55">
      <c r="B55" s="4" t="s">
        <v>341</v>
      </c>
      <c r="D55" s="254">
        <f>D33</f>
        <v>4</v>
      </c>
      <c r="E55" s="255" t="str">
        <f t="shared" si="9"/>
        <v>Strongly agree</v>
      </c>
    </row>
    <row r="56">
      <c r="B56" s="4" t="s">
        <v>342</v>
      </c>
      <c r="D56" s="254">
        <f>AVERAGE(D39:D43)</f>
        <v>2.8</v>
      </c>
      <c r="E56" s="255" t="str">
        <f t="shared" si="9"/>
        <v>agree</v>
      </c>
    </row>
    <row r="57">
      <c r="B57" s="4" t="s">
        <v>343</v>
      </c>
      <c r="D57" s="254">
        <f>IF(E57="Strongly disagree",0,IF(E57="disagree",1,IF(E57="unclear",2,IF(E57="agree",3,4))))</f>
        <v>0</v>
      </c>
      <c r="E57" s="255" t="str">
        <f>IF(OR(F22=4,F22=-4),"Strongly disagree",IF(F22=0,"Strongly agree",IF(OR(F22=1,F22=-1),"agree",IF(OR(F22=3,F22=-3),"disagree","unclear"))))</f>
        <v>Strongly disagree</v>
      </c>
    </row>
    <row r="58">
      <c r="B58" s="4" t="s">
        <v>344</v>
      </c>
      <c r="D58" s="254"/>
      <c r="E58" s="257">
        <f>SUM(D53:D57)/20</f>
        <v>0.44</v>
      </c>
    </row>
    <row r="60" ht="15.0" customHeight="1">
      <c r="B60" s="259" t="s">
        <v>345</v>
      </c>
      <c r="C60" s="259"/>
      <c r="D60" s="259"/>
    </row>
    <row r="61" ht="15.0" customHeight="1">
      <c r="B61" s="4" t="s">
        <v>346</v>
      </c>
      <c r="D61" s="114"/>
    </row>
    <row r="62" ht="15.0" customHeight="1">
      <c r="B62" s="4" t="s">
        <v>347</v>
      </c>
      <c r="D62" s="260">
        <f>SUM(D63:D70)/(8*4)</f>
        <v>0.3125</v>
      </c>
      <c r="E62" s="251" t="str">
        <f>IF(D62&gt;80%,"Very High",IF(D62&lt;=20%,"Very Low",IF(D62&lt;=40%,"Low",IF(D62&lt;=60%,"Medium","High"))))</f>
        <v>Low</v>
      </c>
    </row>
    <row r="63" ht="15.0" customHeight="1">
      <c r="B63" s="4" t="s">
        <v>348</v>
      </c>
      <c r="D63" s="254">
        <f t="shared" ref="D63:D70" si="10">IF(E63="Strongly disagree",0,IF(E63="disagree",1,IF(E63="unclear",2,IF(E63="agree",3,4))))</f>
        <v>0</v>
      </c>
      <c r="E63" s="174" t="s">
        <v>311</v>
      </c>
    </row>
    <row r="64" ht="15.0" customHeight="1">
      <c r="B64" s="4" t="s">
        <v>349</v>
      </c>
      <c r="D64" s="254">
        <f t="shared" si="10"/>
        <v>4</v>
      </c>
      <c r="E64" s="174" t="s">
        <v>316</v>
      </c>
    </row>
    <row r="65" ht="15.0" customHeight="1">
      <c r="B65" s="4" t="s">
        <v>350</v>
      </c>
      <c r="D65" s="254">
        <f t="shared" si="10"/>
        <v>4</v>
      </c>
      <c r="E65" s="174" t="s">
        <v>316</v>
      </c>
    </row>
    <row r="66" ht="15.0" customHeight="1">
      <c r="B66" s="4" t="s">
        <v>351</v>
      </c>
      <c r="D66" s="254">
        <f t="shared" si="10"/>
        <v>0</v>
      </c>
      <c r="E66" s="174" t="s">
        <v>311</v>
      </c>
    </row>
    <row r="67" ht="15.0" customHeight="1">
      <c r="B67" s="4" t="s">
        <v>352</v>
      </c>
      <c r="D67" s="254">
        <f t="shared" si="10"/>
        <v>0</v>
      </c>
      <c r="E67" s="174" t="s">
        <v>311</v>
      </c>
    </row>
    <row r="68" ht="15.0" customHeight="1">
      <c r="B68" s="4" t="s">
        <v>353</v>
      </c>
      <c r="D68" s="254">
        <f t="shared" si="10"/>
        <v>1</v>
      </c>
      <c r="E68" s="174" t="s">
        <v>354</v>
      </c>
    </row>
    <row r="69" ht="15.0" customHeight="1">
      <c r="B69" s="4" t="s">
        <v>355</v>
      </c>
      <c r="D69" s="254">
        <f t="shared" si="10"/>
        <v>0</v>
      </c>
      <c r="E69" s="174" t="s">
        <v>311</v>
      </c>
    </row>
    <row r="70" ht="15.0" customHeight="1">
      <c r="B70" s="4" t="s">
        <v>356</v>
      </c>
      <c r="D70" s="254">
        <f t="shared" si="10"/>
        <v>1</v>
      </c>
      <c r="E70" s="174" t="s">
        <v>354</v>
      </c>
    </row>
    <row r="72" ht="15.0" customHeight="1">
      <c r="B72" s="4" t="s">
        <v>357</v>
      </c>
      <c r="D72" s="260">
        <f>SUM(D73:D78)/(6*4)</f>
        <v>0</v>
      </c>
      <c r="E72" s="251" t="str">
        <f>IF(D72&gt;80%,"Very High",IF(D72&lt;=20%,"Very Low",IF(D72&lt;=40%,"Low",IF(D72&lt;=60%,"Medium","High"))))</f>
        <v>Very Low</v>
      </c>
    </row>
    <row r="73" ht="15.0" customHeight="1">
      <c r="B73" s="4" t="s">
        <v>358</v>
      </c>
      <c r="D73" s="254">
        <f t="shared" ref="D73:D78" si="11">IF(E73="Strongly disagree",0,IF(E73="disagree",1,IF(E73="unclear",2,IF(E73="agree",3,4))))</f>
        <v>0</v>
      </c>
      <c r="E73" s="174" t="s">
        <v>311</v>
      </c>
    </row>
    <row r="74" ht="15.0" customHeight="1">
      <c r="B74" s="4" t="s">
        <v>359</v>
      </c>
      <c r="D74" s="254">
        <f t="shared" si="11"/>
        <v>0</v>
      </c>
      <c r="E74" s="174" t="s">
        <v>311</v>
      </c>
    </row>
    <row r="75" ht="15.0" customHeight="1">
      <c r="B75" s="4" t="s">
        <v>360</v>
      </c>
      <c r="D75" s="254">
        <f t="shared" si="11"/>
        <v>0</v>
      </c>
      <c r="E75" s="174" t="s">
        <v>311</v>
      </c>
    </row>
    <row r="76" ht="15.0" customHeight="1">
      <c r="B76" s="4" t="s">
        <v>361</v>
      </c>
      <c r="D76" s="254">
        <f t="shared" si="11"/>
        <v>0</v>
      </c>
      <c r="E76" s="174" t="s">
        <v>311</v>
      </c>
    </row>
    <row r="77" ht="15.0" customHeight="1">
      <c r="B77" s="4" t="s">
        <v>362</v>
      </c>
      <c r="D77" s="254">
        <f t="shared" si="11"/>
        <v>0</v>
      </c>
      <c r="E77" s="174" t="s">
        <v>311</v>
      </c>
    </row>
    <row r="78" ht="15.0" customHeight="1">
      <c r="B78" s="4" t="s">
        <v>363</v>
      </c>
      <c r="D78" s="254">
        <f t="shared" si="11"/>
        <v>0</v>
      </c>
      <c r="E78" s="174" t="s">
        <v>311</v>
      </c>
    </row>
    <row r="80" ht="15.0" customHeight="1">
      <c r="B80" s="4" t="s">
        <v>364</v>
      </c>
      <c r="D80" s="260">
        <f>SUM(D81:D88)/(8*4)</f>
        <v>0.59375</v>
      </c>
      <c r="E80" s="251" t="str">
        <f>IF(D80&gt;80%,"Very High",IF(D80&lt;=20%,"Very Low",IF(D80&lt;=40%,"Low",IF(D80&lt;=60%,"Medium","High"))))</f>
        <v>Medium</v>
      </c>
    </row>
    <row r="81" ht="15.0" customHeight="1">
      <c r="B81" s="4" t="s">
        <v>365</v>
      </c>
      <c r="D81" s="254">
        <f t="shared" ref="D81:D88" si="12">IF(E81="Strongly disagree",0,IF(E81="disagree",1,IF(E81="unclear",2,IF(E81="agree",3,4))))</f>
        <v>4</v>
      </c>
      <c r="E81" s="174" t="s">
        <v>316</v>
      </c>
    </row>
    <row r="82" ht="15.0" customHeight="1">
      <c r="B82" s="4" t="s">
        <v>366</v>
      </c>
      <c r="D82" s="254">
        <f t="shared" si="12"/>
        <v>1</v>
      </c>
      <c r="E82" s="174" t="s">
        <v>354</v>
      </c>
    </row>
    <row r="83" ht="15.0" customHeight="1">
      <c r="B83" s="4" t="s">
        <v>367</v>
      </c>
      <c r="D83" s="254">
        <f t="shared" si="12"/>
        <v>4</v>
      </c>
      <c r="E83" s="174" t="s">
        <v>316</v>
      </c>
    </row>
    <row r="84" ht="15.0" customHeight="1">
      <c r="B84" s="4" t="s">
        <v>368</v>
      </c>
      <c r="D84" s="254">
        <f t="shared" si="12"/>
        <v>0</v>
      </c>
      <c r="E84" s="174" t="s">
        <v>311</v>
      </c>
    </row>
    <row r="85" ht="15.0" customHeight="1">
      <c r="B85" s="4" t="s">
        <v>369</v>
      </c>
      <c r="D85" s="254">
        <f t="shared" si="12"/>
        <v>4</v>
      </c>
      <c r="E85" s="174" t="s">
        <v>316</v>
      </c>
    </row>
    <row r="86" ht="15.0" customHeight="1">
      <c r="B86" s="4" t="s">
        <v>370</v>
      </c>
      <c r="D86" s="254">
        <f t="shared" si="12"/>
        <v>2</v>
      </c>
      <c r="E86" s="174" t="s">
        <v>313</v>
      </c>
    </row>
    <row r="87" ht="15.0" customHeight="1">
      <c r="B87" s="4" t="s">
        <v>371</v>
      </c>
      <c r="D87" s="254">
        <f t="shared" si="12"/>
        <v>2</v>
      </c>
      <c r="E87" s="174" t="s">
        <v>313</v>
      </c>
    </row>
    <row r="88" ht="15.0" customHeight="1">
      <c r="B88" s="4" t="s">
        <v>372</v>
      </c>
      <c r="D88" s="254">
        <f t="shared" si="12"/>
        <v>2</v>
      </c>
      <c r="E88" s="174" t="s">
        <v>313</v>
      </c>
    </row>
    <row r="90" ht="15.0" customHeight="1">
      <c r="B90" s="4" t="s">
        <v>373</v>
      </c>
      <c r="D90" s="260">
        <f>SUM(D91:D95)/(3*4)</f>
        <v>0.425170068</v>
      </c>
      <c r="E90" s="251" t="str">
        <f>IF(D90&gt;80%,"Very High",IF(D90&lt;=20%,"Very Low",IF(D90&lt;=40%,"Low",IF(D90&lt;=60%,"Medium","High"))))</f>
        <v>Medium</v>
      </c>
    </row>
    <row r="91" ht="15.0" customHeight="1">
      <c r="B91" s="4" t="s">
        <v>374</v>
      </c>
      <c r="D91" s="254">
        <f t="shared" ref="D91:D94" si="13">IF(E91="Strongly disagree",0,IF(E91="disagree",1,IF(E91="unclear",2,IF(E91="agree",3,4))))</f>
        <v>0</v>
      </c>
      <c r="E91" s="174" t="s">
        <v>311</v>
      </c>
    </row>
    <row r="92" ht="15.0" customHeight="1">
      <c r="B92" s="4" t="s">
        <v>375</v>
      </c>
      <c r="D92" s="254">
        <f t="shared" si="13"/>
        <v>0</v>
      </c>
      <c r="E92" s="174" t="s">
        <v>311</v>
      </c>
    </row>
    <row r="93" ht="15.0" customHeight="1">
      <c r="B93" s="4" t="s">
        <v>376</v>
      </c>
      <c r="D93" s="254">
        <f t="shared" si="13"/>
        <v>0</v>
      </c>
      <c r="E93" s="174" t="s">
        <v>311</v>
      </c>
    </row>
    <row r="94" ht="15.0" customHeight="1">
      <c r="B94" s="4" t="s">
        <v>377</v>
      </c>
      <c r="D94" s="254">
        <f t="shared" si="13"/>
        <v>2</v>
      </c>
      <c r="E94" s="174" t="s">
        <v>313</v>
      </c>
    </row>
    <row r="95" ht="15.0" customHeight="1">
      <c r="B95" s="4" t="s">
        <v>378</v>
      </c>
      <c r="D95" s="261">
        <f t="array" ref="D95">(1-INDEX(B113:E122,MATCH(E95,B113:B122,0),4))*4</f>
        <v>3.102040816</v>
      </c>
      <c r="E95" s="174" t="s">
        <v>379</v>
      </c>
    </row>
    <row r="97" ht="15.0" customHeight="1">
      <c r="B97" s="4" t="s">
        <v>380</v>
      </c>
      <c r="D97" s="262">
        <f>SUM(D98:D106)/(9*4)</f>
        <v>0.8611111111</v>
      </c>
      <c r="E97" s="251" t="str">
        <f>IF(D97&gt;80%,"Very High",IF(D97&lt;=20%,"Very Low",IF(D97&lt;=40%,"Low",IF(D97&lt;=60%,"Medium","High"))))</f>
        <v>Very High</v>
      </c>
    </row>
    <row r="98" ht="15.0" customHeight="1">
      <c r="B98" s="4" t="s">
        <v>381</v>
      </c>
      <c r="D98" s="254">
        <f t="shared" ref="D98:D105" si="14">IF(E98="Strongly disagree",0,IF(E98="disagree",1,IF(E98="unclear",2,IF(E98="agree",3,4))))</f>
        <v>4</v>
      </c>
      <c r="E98" s="174" t="s">
        <v>316</v>
      </c>
    </row>
    <row r="99" ht="15.0" customHeight="1">
      <c r="B99" s="4" t="s">
        <v>382</v>
      </c>
      <c r="D99" s="254">
        <f t="shared" si="14"/>
        <v>1</v>
      </c>
      <c r="E99" s="174" t="s">
        <v>354</v>
      </c>
    </row>
    <row r="100" ht="15.0" customHeight="1">
      <c r="B100" s="4" t="s">
        <v>383</v>
      </c>
      <c r="D100" s="254">
        <f t="shared" si="14"/>
        <v>4</v>
      </c>
      <c r="E100" s="174" t="s">
        <v>316</v>
      </c>
    </row>
    <row r="101" ht="15.0" customHeight="1">
      <c r="B101" s="4" t="s">
        <v>384</v>
      </c>
      <c r="D101" s="254">
        <f t="shared" si="14"/>
        <v>4</v>
      </c>
      <c r="E101" s="174" t="s">
        <v>316</v>
      </c>
    </row>
    <row r="102" ht="15.0" customHeight="1">
      <c r="B102" s="4" t="s">
        <v>385</v>
      </c>
      <c r="D102" s="254">
        <f t="shared" si="14"/>
        <v>4</v>
      </c>
      <c r="E102" s="174" t="s">
        <v>316</v>
      </c>
    </row>
    <row r="103" ht="15.0" customHeight="1">
      <c r="B103" s="4" t="s">
        <v>386</v>
      </c>
      <c r="D103" s="254">
        <f t="shared" si="14"/>
        <v>4</v>
      </c>
      <c r="E103" s="174" t="s">
        <v>316</v>
      </c>
    </row>
    <row r="104" ht="15.0" customHeight="1">
      <c r="B104" s="4" t="s">
        <v>387</v>
      </c>
      <c r="D104" s="254">
        <f t="shared" si="14"/>
        <v>4</v>
      </c>
      <c r="E104" s="174" t="s">
        <v>316</v>
      </c>
    </row>
    <row r="105" ht="15.0" customHeight="1">
      <c r="B105" s="4" t="s">
        <v>388</v>
      </c>
      <c r="D105" s="254">
        <f t="shared" si="14"/>
        <v>4</v>
      </c>
      <c r="E105" s="174" t="s">
        <v>316</v>
      </c>
    </row>
    <row r="106" ht="15.0" customHeight="1">
      <c r="B106" s="4" t="s">
        <v>389</v>
      </c>
      <c r="D106" s="254">
        <f>IF(E106="Strongly disagree",0,IF(E106="disagree",1,IF(E106="non-perishable",2,IF(E106="agree",3,4))))</f>
        <v>2</v>
      </c>
      <c r="E106" s="174" t="s">
        <v>390</v>
      </c>
    </row>
    <row r="108" ht="15.0" customHeight="1">
      <c r="B108" s="4" t="s">
        <v>391</v>
      </c>
      <c r="E108" s="251" t="str">
        <f>IF(E109&gt;80%,"Very Low",IF(E109&lt;=20%,"Very High",IF(E109&lt;=40%,"High",IF(E109&lt;=60%,"Medium","Low"))))</f>
        <v>Medium</v>
      </c>
    </row>
    <row r="109" ht="15.0" customHeight="1">
      <c r="B109" s="4" t="s">
        <v>392</v>
      </c>
      <c r="E109" s="145">
        <f>1-AVERAGE(D62,D72,D80,D90,D97)</f>
        <v>0.5614937642</v>
      </c>
      <c r="F109" s="4"/>
    </row>
    <row r="111" ht="15.0" customHeight="1">
      <c r="B111" s="119" t="s">
        <v>393</v>
      </c>
      <c r="C111" s="12"/>
      <c r="D111" s="12"/>
      <c r="E111" s="122"/>
      <c r="F111" s="4"/>
      <c r="G111" s="4"/>
      <c r="H111" s="4"/>
    </row>
    <row r="112" ht="15.0" customHeight="1">
      <c r="B112" s="263" t="s">
        <v>394</v>
      </c>
      <c r="C112" s="252"/>
      <c r="D112" s="252"/>
      <c r="E112" s="264"/>
      <c r="F112" s="4"/>
      <c r="G112" s="4"/>
      <c r="H112" s="4"/>
    </row>
    <row r="113" ht="15.0" customHeight="1">
      <c r="B113" s="265" t="s">
        <v>395</v>
      </c>
      <c r="C113" s="252"/>
      <c r="D113" s="252">
        <v>1.0</v>
      </c>
      <c r="E113" s="266">
        <f t="shared" ref="E113:E121" si="15">D113/MAX($D$113:$D$122)</f>
        <v>0.03401360544</v>
      </c>
      <c r="F113" s="4"/>
      <c r="G113" s="4"/>
      <c r="H113" s="4"/>
    </row>
    <row r="114" ht="15.0" customHeight="1">
      <c r="B114" s="265" t="str">
        <f t="shared" ref="B114:B122" si="16">C114&amp;", "&amp;D114&amp;"y"</f>
        <v>Information Technology Like, 6.6y</v>
      </c>
      <c r="C114" s="252" t="s">
        <v>396</v>
      </c>
      <c r="D114" s="252">
        <v>6.6</v>
      </c>
      <c r="E114" s="266">
        <f t="shared" si="15"/>
        <v>0.2244897959</v>
      </c>
      <c r="F114" s="4"/>
      <c r="G114" s="4"/>
      <c r="H114" s="4"/>
    </row>
    <row r="115" ht="15.0" customHeight="1">
      <c r="B115" s="265" t="str">
        <f t="shared" si="16"/>
        <v>Healthcare, 11.4y</v>
      </c>
      <c r="C115" s="252" t="s">
        <v>397</v>
      </c>
      <c r="D115" s="252">
        <v>11.4</v>
      </c>
      <c r="E115" s="266">
        <f t="shared" si="15"/>
        <v>0.387755102</v>
      </c>
      <c r="F115" s="4"/>
      <c r="G115" s="4"/>
      <c r="H115" s="4"/>
    </row>
    <row r="116" ht="15.0" customHeight="1">
      <c r="B116" s="265" t="str">
        <f t="shared" si="16"/>
        <v>Consumer Discretionary, 12.4y</v>
      </c>
      <c r="C116" s="252" t="s">
        <v>398</v>
      </c>
      <c r="D116" s="252">
        <v>12.4</v>
      </c>
      <c r="E116" s="266">
        <f t="shared" si="15"/>
        <v>0.4217687075</v>
      </c>
      <c r="F116" s="4"/>
      <c r="G116" s="4"/>
      <c r="H116" s="4"/>
    </row>
    <row r="117" ht="15.0" customHeight="1">
      <c r="B117" s="265" t="str">
        <f t="shared" si="16"/>
        <v>Consumer Staples, 15.1y</v>
      </c>
      <c r="C117" s="252" t="s">
        <v>399</v>
      </c>
      <c r="D117" s="252">
        <v>15.1</v>
      </c>
      <c r="E117" s="266">
        <f t="shared" si="15"/>
        <v>0.5136054422</v>
      </c>
      <c r="F117" s="4"/>
      <c r="G117" s="4"/>
      <c r="H117" s="4"/>
    </row>
    <row r="118" ht="15.0" customHeight="1">
      <c r="B118" s="265" t="str">
        <f t="shared" si="16"/>
        <v>Industrials, 15.4y</v>
      </c>
      <c r="C118" s="252" t="s">
        <v>400</v>
      </c>
      <c r="D118" s="252">
        <v>15.4</v>
      </c>
      <c r="E118" s="266">
        <f t="shared" si="15"/>
        <v>0.5238095238</v>
      </c>
      <c r="F118" s="4"/>
      <c r="G118" s="4"/>
      <c r="H118" s="4"/>
    </row>
    <row r="119" ht="15.0" customHeight="1">
      <c r="B119" s="265" t="str">
        <f t="shared" si="16"/>
        <v>Telecommunication Services, 16.1y</v>
      </c>
      <c r="C119" s="252" t="s">
        <v>401</v>
      </c>
      <c r="D119" s="252">
        <v>16.1</v>
      </c>
      <c r="E119" s="266">
        <f t="shared" si="15"/>
        <v>0.5476190476</v>
      </c>
      <c r="F119" s="4"/>
      <c r="G119" s="4"/>
      <c r="H119" s="4"/>
    </row>
    <row r="120" ht="15.0" customHeight="1">
      <c r="B120" s="265" t="str">
        <f t="shared" si="16"/>
        <v>Energy, 17.6y</v>
      </c>
      <c r="C120" s="252" t="s">
        <v>402</v>
      </c>
      <c r="D120" s="252">
        <v>17.6</v>
      </c>
      <c r="E120" s="266">
        <f t="shared" si="15"/>
        <v>0.5986394558</v>
      </c>
      <c r="F120" s="4"/>
      <c r="G120" s="4"/>
      <c r="H120" s="4"/>
    </row>
    <row r="121" ht="15.0" customHeight="1">
      <c r="B121" s="265" t="str">
        <f t="shared" si="16"/>
        <v>Materials, 18.6y</v>
      </c>
      <c r="C121" s="252" t="s">
        <v>403</v>
      </c>
      <c r="D121" s="252">
        <v>18.6</v>
      </c>
      <c r="E121" s="266">
        <f t="shared" si="15"/>
        <v>0.6326530612</v>
      </c>
      <c r="F121" s="4"/>
      <c r="G121" s="4"/>
      <c r="H121" s="4"/>
    </row>
    <row r="122" ht="15.0" customHeight="1">
      <c r="B122" s="267" t="str">
        <f t="shared" si="16"/>
        <v>Utilities, 29.4y</v>
      </c>
      <c r="C122" s="268" t="s">
        <v>404</v>
      </c>
      <c r="D122" s="268">
        <v>29.4</v>
      </c>
      <c r="E122" s="269">
        <f>D122/MAX($D$114:$D$122)</f>
        <v>1</v>
      </c>
      <c r="F122" s="4"/>
      <c r="G122" s="4"/>
      <c r="H122" s="4"/>
    </row>
  </sheetData>
  <dataValidations>
    <dataValidation type="list" allowBlank="1" sqref="E6">
      <formula1>"Hot - Loose,Cold - Tight,Mixed"</formula1>
    </dataValidation>
    <dataValidation type="list" allowBlank="1" sqref="E10">
      <formula1>"Hot - Low,Cold - High,Mixed"</formula1>
    </dataValidation>
    <dataValidation type="list" allowBlank="1" sqref="E9">
      <formula1>"Hot - Easy,Cold - Restrictive,Mixed"</formula1>
    </dataValidation>
    <dataValidation type="list" allowBlank="1" sqref="E62 E72 E80 E90 E97">
      <formula1>"Very High,High,Medium,Low,Very Low"</formula1>
    </dataValidation>
    <dataValidation type="list" allowBlank="1" sqref="E4">
      <formula1>"Hot - Positive,Cold - Negative,Mixed"</formula1>
    </dataValidation>
    <dataValidation type="list" allowBlank="1" sqref="E27:E31 E34:E37 E39:E43 E53 E63:E70 E73:E78 E81:E88 E91:E94 E98:E105">
      <formula1>"Strongly agree,agree,unclear,disagree,Strongly disagree"</formula1>
    </dataValidation>
    <dataValidation type="list" allowBlank="1" sqref="E20">
      <formula1>"Hot - Strong,Cold - Weak,Mixed"</formula1>
    </dataValidation>
    <dataValidation type="list" allowBlank="1" sqref="E18">
      <formula1>"Hot - Average person joins the market,Cold - ""Worse is yet to come"",Mixed - ""Market has bottomed"""</formula1>
    </dataValidation>
    <dataValidation type="list" allowBlank="1" sqref="E13">
      <formula1>"Hot - Happy to hold,Cold - Rushing for the exits,Mixed"</formula1>
    </dataValidation>
    <dataValidation type="list" allowBlank="1" sqref="E106">
      <formula1>"Strongly agree,agree,non-perishable,disagree,Strongly disagree"</formula1>
    </dataValidation>
    <dataValidation type="list" allowBlank="1" sqref="E21">
      <formula1>"Hot - Aggressiveness,Cold - Caution and discipline,Hot - Broad reach,Cold - ""It's uninvestable"",Mixed"</formula1>
    </dataValidation>
    <dataValidation type="list" allowBlank="1" sqref="E16">
      <formula1>"Hot - Few,Cold - Many,Mixed"</formula1>
    </dataValidation>
    <dataValidation type="list" allowBlank="1" sqref="E14">
      <formula1>"Hot - High,Cold - Low,Mixed"</formula1>
    </dataValidation>
    <dataValidation type="list" allowBlank="1" sqref="E15">
      <formula1>"Hot - Optimistic,Cold - Pessimistic,Hot - Sanguine,Cold - Distressed,Hot - Eager to buy,Cold - Uninterested in buying,Mixed"</formula1>
    </dataValidation>
    <dataValidation type="list" allowBlank="1" sqref="E5">
      <formula1>"Hot - Eager,Cold - Reticent,Mixed"</formula1>
    </dataValidation>
    <dataValidation type="list" allowBlank="1" sqref="E3">
      <formula1>"Hot - Vibrant,Cold - Sluggish,Mixed"</formula1>
    </dataValidation>
    <dataValidation type="list" allowBlank="1" sqref="E19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>
      <formula1>"Hot - Plentiful,Cold - Scarce,Mixed"</formula1>
    </dataValidation>
    <dataValidation type="list" allowBlank="1" sqref="E11">
      <formula1>"Hot - Narrow,Cold - Wide,Mixed"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2022-08-10T03:52:42Z</dcterms:created>
  <dc:creator>Jerry.chen</dc:creator>
</cp:coreProperties>
</file>