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Jerry.chen\PycharmProjects\pythonProject\Opportunities\"/>
    </mc:Choice>
  </mc:AlternateContent>
  <xr:revisionPtr revIDLastSave="0" documentId="8_{4F5BEC68-4F00-4C0B-A73E-5A1249F557A3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Dashboard" sheetId="1" r:id="rId1"/>
    <sheet name="Data" sheetId="2" r:id="rId2"/>
    <sheet name="Asset Model" sheetId="3" r:id="rId3"/>
    <sheet name="FCF Model" sheetId="4" r:id="rId4"/>
    <sheet name="Qualitative Analysis" sheetId="5" r:id="rId5"/>
  </sheets>
  <definedNames>
    <definedName name="Common_Shares">Dashboard!$H$5</definedName>
    <definedName name="Exchange_Rate">Dashboard!$H$13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41" i="4" l="1"/>
  <c r="C60" i="4"/>
  <c r="F60" i="4" l="1"/>
  <c r="D8" i="4"/>
  <c r="H25" i="1" l="1"/>
  <c r="C25" i="1"/>
  <c r="E4" i="4"/>
  <c r="D11" i="1"/>
  <c r="D13" i="1"/>
  <c r="C23" i="1"/>
  <c r="I13" i="1"/>
  <c r="E5" i="1"/>
  <c r="D52" i="3"/>
  <c r="E4" i="2"/>
  <c r="E8" i="4"/>
  <c r="E9" i="4" s="1"/>
  <c r="E10" i="3"/>
  <c r="L31" i="2"/>
  <c r="L32" i="2" s="1"/>
  <c r="M31" i="2"/>
  <c r="M32" i="2" s="1"/>
  <c r="G29" i="2"/>
  <c r="H29" i="2"/>
  <c r="I29" i="2"/>
  <c r="J29" i="2"/>
  <c r="K29" i="2"/>
  <c r="L29" i="2"/>
  <c r="M29" i="2"/>
  <c r="M30" i="2"/>
  <c r="L30" i="2"/>
  <c r="K30" i="2"/>
  <c r="K31" i="2" s="1"/>
  <c r="J30" i="2"/>
  <c r="J31" i="2" s="1"/>
  <c r="I30" i="2"/>
  <c r="I31" i="2" s="1"/>
  <c r="H30" i="2"/>
  <c r="H31" i="2" s="1"/>
  <c r="G30" i="2"/>
  <c r="G31" i="2" s="1"/>
  <c r="F30" i="2"/>
  <c r="E30" i="2"/>
  <c r="D30" i="2"/>
  <c r="C30" i="2"/>
  <c r="C8" i="2"/>
  <c r="C10" i="2"/>
  <c r="C14" i="2"/>
  <c r="F6" i="4"/>
  <c r="E6" i="4"/>
  <c r="F23" i="4"/>
  <c r="F20" i="4"/>
  <c r="F17" i="4"/>
  <c r="D37" i="4"/>
  <c r="D36" i="4"/>
  <c r="C54" i="4"/>
  <c r="M15" i="2"/>
  <c r="J3" i="2" a="1"/>
  <c r="J3" i="2" s="1"/>
  <c r="C28" i="2"/>
  <c r="M33" i="2"/>
  <c r="D59" i="5"/>
  <c r="D27" i="5"/>
  <c r="D28" i="5"/>
  <c r="D26" i="5"/>
  <c r="M6" i="2"/>
  <c r="L6" i="2"/>
  <c r="K6" i="2"/>
  <c r="J6" i="2"/>
  <c r="I6" i="2"/>
  <c r="H6" i="2"/>
  <c r="G6" i="2"/>
  <c r="F6" i="2"/>
  <c r="E6" i="2"/>
  <c r="D6" i="2"/>
  <c r="C6" i="2"/>
  <c r="D3" i="4"/>
  <c r="E11" i="4" l="1"/>
  <c r="E13" i="4"/>
  <c r="C31" i="2"/>
  <c r="C29" i="2"/>
  <c r="D31" i="2"/>
  <c r="D29" i="2"/>
  <c r="E31" i="2"/>
  <c r="E29" i="2"/>
  <c r="F31" i="2"/>
  <c r="F29" i="2"/>
  <c r="C13" i="2"/>
  <c r="C12" i="2" s="1"/>
  <c r="C16" i="2"/>
  <c r="D29" i="5"/>
  <c r="E29" i="5" s="1"/>
  <c r="E127" i="5"/>
  <c r="B127" i="5"/>
  <c r="E126" i="5"/>
  <c r="B126" i="5"/>
  <c r="E125" i="5"/>
  <c r="B125" i="5"/>
  <c r="E124" i="5"/>
  <c r="B124" i="5"/>
  <c r="E123" i="5"/>
  <c r="B123" i="5"/>
  <c r="E122" i="5"/>
  <c r="B122" i="5"/>
  <c r="E121" i="5"/>
  <c r="B121" i="5"/>
  <c r="E120" i="5"/>
  <c r="B120" i="5"/>
  <c r="E119" i="5"/>
  <c r="B119" i="5"/>
  <c r="E118" i="5"/>
  <c r="D111" i="5"/>
  <c r="D110" i="5"/>
  <c r="D109" i="5"/>
  <c r="D108" i="5"/>
  <c r="D107" i="5"/>
  <c r="D106" i="5"/>
  <c r="D105" i="5"/>
  <c r="D104" i="5"/>
  <c r="D103" i="5"/>
  <c r="D100" i="5" a="1"/>
  <c r="D100" i="5" s="1"/>
  <c r="D99" i="5"/>
  <c r="D98" i="5"/>
  <c r="D97" i="5"/>
  <c r="D96" i="5"/>
  <c r="D93" i="5"/>
  <c r="D92" i="5"/>
  <c r="D91" i="5"/>
  <c r="D90" i="5"/>
  <c r="D89" i="5"/>
  <c r="D88" i="5"/>
  <c r="D87" i="5"/>
  <c r="D86" i="5"/>
  <c r="D83" i="5"/>
  <c r="D82" i="5"/>
  <c r="D81" i="5"/>
  <c r="D80" i="5"/>
  <c r="D79" i="5"/>
  <c r="D78" i="5"/>
  <c r="D75" i="5"/>
  <c r="D74" i="5"/>
  <c r="D73" i="5"/>
  <c r="D72" i="5"/>
  <c r="D71" i="5"/>
  <c r="D70" i="5"/>
  <c r="D69" i="5"/>
  <c r="D68" i="5"/>
  <c r="D49" i="5"/>
  <c r="D48" i="5"/>
  <c r="D47" i="5"/>
  <c r="D46" i="5"/>
  <c r="D45" i="5"/>
  <c r="D43" i="5"/>
  <c r="D42" i="5"/>
  <c r="D41" i="5"/>
  <c r="D40" i="5"/>
  <c r="D37" i="5"/>
  <c r="D36" i="5"/>
  <c r="D35" i="5"/>
  <c r="D34" i="5"/>
  <c r="D21" i="5"/>
  <c r="D20" i="5"/>
  <c r="D19" i="5"/>
  <c r="D18" i="5"/>
  <c r="D16" i="5"/>
  <c r="D15" i="5"/>
  <c r="D14" i="5"/>
  <c r="D13" i="5"/>
  <c r="D11" i="5"/>
  <c r="D10" i="5"/>
  <c r="D9" i="5"/>
  <c r="D8" i="5"/>
  <c r="D6" i="5"/>
  <c r="D5" i="5"/>
  <c r="D4" i="5"/>
  <c r="D3" i="5"/>
  <c r="D45" i="4"/>
  <c r="D63" i="4" s="1"/>
  <c r="D44" i="4"/>
  <c r="G17" i="4"/>
  <c r="E17" i="4"/>
  <c r="C8" i="4"/>
  <c r="B6" i="4"/>
  <c r="C27" i="2"/>
  <c r="C33" i="4" s="1"/>
  <c r="H35" i="3"/>
  <c r="C35" i="3"/>
  <c r="E33" i="3"/>
  <c r="E31" i="3"/>
  <c r="E30" i="3"/>
  <c r="E29" i="3"/>
  <c r="E28" i="3"/>
  <c r="E27" i="3"/>
  <c r="E26" i="3"/>
  <c r="E25" i="3"/>
  <c r="E24" i="3"/>
  <c r="E23" i="3"/>
  <c r="H21" i="3"/>
  <c r="C21" i="3"/>
  <c r="C19" i="3"/>
  <c r="C37" i="3" s="1"/>
  <c r="C38" i="3" s="1"/>
  <c r="E17" i="3"/>
  <c r="E16" i="3"/>
  <c r="E15" i="3"/>
  <c r="E14" i="3"/>
  <c r="E13" i="3"/>
  <c r="E12" i="3"/>
  <c r="E11" i="3"/>
  <c r="B55" i="2"/>
  <c r="D54" i="2"/>
  <c r="E54" i="2" s="1"/>
  <c r="M45" i="2"/>
  <c r="L45" i="2"/>
  <c r="K45" i="2"/>
  <c r="J45" i="2"/>
  <c r="I45" i="2"/>
  <c r="G45" i="2"/>
  <c r="M38" i="2"/>
  <c r="M36" i="2"/>
  <c r="H45" i="2"/>
  <c r="M46" i="2"/>
  <c r="C26" i="2"/>
  <c r="M24" i="2"/>
  <c r="L24" i="2"/>
  <c r="L33" i="2" s="1"/>
  <c r="K24" i="2"/>
  <c r="J24" i="2"/>
  <c r="J33" i="2" s="1"/>
  <c r="I24" i="2"/>
  <c r="I33" i="2" s="1"/>
  <c r="H24" i="2"/>
  <c r="H33" i="2" s="1"/>
  <c r="G24" i="2"/>
  <c r="G33" i="2" s="1"/>
  <c r="F24" i="2"/>
  <c r="F33" i="2" s="1"/>
  <c r="E24" i="2"/>
  <c r="E33" i="2" s="1"/>
  <c r="D24" i="2"/>
  <c r="D33" i="2" s="1"/>
  <c r="C23" i="2"/>
  <c r="C22" i="2"/>
  <c r="C24" i="2" s="1"/>
  <c r="D48" i="3" s="1"/>
  <c r="C34" i="4" s="1"/>
  <c r="M19" i="2"/>
  <c r="L19" i="2"/>
  <c r="K19" i="2"/>
  <c r="J19" i="2"/>
  <c r="I19" i="2"/>
  <c r="H19" i="2"/>
  <c r="G19" i="2"/>
  <c r="F19" i="2"/>
  <c r="E19" i="2"/>
  <c r="D19" i="2"/>
  <c r="C19" i="2"/>
  <c r="M14" i="2"/>
  <c r="M13" i="2" s="1"/>
  <c r="K14" i="2"/>
  <c r="K16" i="2" s="1"/>
  <c r="K32" i="2" s="1"/>
  <c r="M12" i="2"/>
  <c r="C13" i="4"/>
  <c r="M10" i="2"/>
  <c r="L10" i="2"/>
  <c r="K10" i="2"/>
  <c r="H10" i="2"/>
  <c r="G10" i="2"/>
  <c r="D10" i="2"/>
  <c r="L14" i="2"/>
  <c r="J14" i="2"/>
  <c r="J16" i="2" s="1"/>
  <c r="J32" i="2" s="1"/>
  <c r="I10" i="2"/>
  <c r="H14" i="2"/>
  <c r="H16" i="2" s="1"/>
  <c r="H32" i="2" s="1"/>
  <c r="G14" i="2"/>
  <c r="G16" i="2" s="1"/>
  <c r="G32" i="2" s="1"/>
  <c r="F14" i="2"/>
  <c r="E10" i="2"/>
  <c r="C9" i="4"/>
  <c r="L8" i="2"/>
  <c r="K8" i="2"/>
  <c r="J8" i="2"/>
  <c r="I8" i="2"/>
  <c r="H8" i="2"/>
  <c r="G8" i="2"/>
  <c r="F8" i="2"/>
  <c r="E8" i="2"/>
  <c r="D8" i="2"/>
  <c r="C7" i="4"/>
  <c r="H4" i="2"/>
  <c r="F3" i="2" a="1"/>
  <c r="F3" i="2" s="1"/>
  <c r="F22" i="1" s="1"/>
  <c r="H3" i="2"/>
  <c r="G38" i="1"/>
  <c r="G34" i="1" s="1"/>
  <c r="E38" i="1"/>
  <c r="E34" i="1" s="1"/>
  <c r="C38" i="1"/>
  <c r="E39" i="1" s="1"/>
  <c r="E40" i="1" s="1"/>
  <c r="G37" i="1"/>
  <c r="E37" i="1"/>
  <c r="C37" i="1"/>
  <c r="H35" i="1"/>
  <c r="G23" i="4"/>
  <c r="G19" i="4" s="1"/>
  <c r="D23" i="4"/>
  <c r="G10" i="1"/>
  <c r="H6" i="1"/>
  <c r="G36" i="2" s="1"/>
  <c r="C2" i="1"/>
  <c r="C32" i="2" l="1"/>
  <c r="F51" i="3"/>
  <c r="C39" i="3"/>
  <c r="D51" i="3"/>
  <c r="F16" i="2"/>
  <c r="F32" i="2" s="1"/>
  <c r="J4" i="2" a="1"/>
  <c r="J4" i="2" s="1"/>
  <c r="K15" i="2"/>
  <c r="L16" i="2"/>
  <c r="L15" i="2"/>
  <c r="M16" i="2"/>
  <c r="M35" i="2" s="1"/>
  <c r="C72" i="2"/>
  <c r="C35" i="2"/>
  <c r="C38" i="2"/>
  <c r="D102" i="5"/>
  <c r="E102" i="5" s="1"/>
  <c r="E55" i="5" s="1"/>
  <c r="E33" i="5"/>
  <c r="H9" i="1"/>
  <c r="I9" i="1" s="1"/>
  <c r="G20" i="4"/>
  <c r="F28" i="4"/>
  <c r="K33" i="2"/>
  <c r="J40" i="2" s="1"/>
  <c r="L44" i="2"/>
  <c r="F15" i="2"/>
  <c r="G15" i="2"/>
  <c r="C69" i="2"/>
  <c r="J15" i="2"/>
  <c r="C34" i="1"/>
  <c r="H34" i="1" s="1"/>
  <c r="D67" i="5"/>
  <c r="E67" i="5" s="1"/>
  <c r="E51" i="5" s="1"/>
  <c r="H39" i="3"/>
  <c r="D3" i="3" s="1"/>
  <c r="C25" i="2" s="1"/>
  <c r="F23" i="1" s="1"/>
  <c r="C21" i="2"/>
  <c r="H38" i="1"/>
  <c r="I39" i="1" s="1"/>
  <c r="I40" i="1" s="1"/>
  <c r="E12" i="5"/>
  <c r="D12" i="5" s="1"/>
  <c r="E17" i="5"/>
  <c r="D17" i="5" s="1"/>
  <c r="D95" i="5"/>
  <c r="E95" i="5" s="1"/>
  <c r="E54" i="5" s="1"/>
  <c r="E19" i="3"/>
  <c r="D19" i="3" s="1"/>
  <c r="C20" i="2"/>
  <c r="C32" i="4"/>
  <c r="E35" i="3"/>
  <c r="D35" i="3" s="1"/>
  <c r="G40" i="2"/>
  <c r="G13" i="2"/>
  <c r="G12" i="2" s="1"/>
  <c r="F13" i="2"/>
  <c r="F45" i="2"/>
  <c r="C73" i="2"/>
  <c r="J13" i="2"/>
  <c r="I43" i="2"/>
  <c r="H39" i="2"/>
  <c r="I42" i="2"/>
  <c r="I46" i="2"/>
  <c r="H46" i="2"/>
  <c r="H42" i="2"/>
  <c r="H44" i="2"/>
  <c r="H43" i="2"/>
  <c r="G39" i="2"/>
  <c r="E43" i="2"/>
  <c r="D39" i="2"/>
  <c r="E42" i="2"/>
  <c r="E46" i="2"/>
  <c r="E36" i="2"/>
  <c r="K42" i="2"/>
  <c r="L36" i="2"/>
  <c r="F39" i="2"/>
  <c r="G42" i="2"/>
  <c r="G44" i="2"/>
  <c r="G46" i="2"/>
  <c r="D14" i="2"/>
  <c r="D16" i="2" s="1"/>
  <c r="D32" i="2" s="1"/>
  <c r="H13" i="2"/>
  <c r="H12" i="2" s="1"/>
  <c r="L13" i="2"/>
  <c r="L12" i="2" s="1"/>
  <c r="F10" i="2"/>
  <c r="J10" i="2"/>
  <c r="J12" i="2" s="1"/>
  <c r="K39" i="2"/>
  <c r="L40" i="2"/>
  <c r="M42" i="2"/>
  <c r="L43" i="2"/>
  <c r="D55" i="2"/>
  <c r="E55" i="2" s="1"/>
  <c r="F55" i="2"/>
  <c r="J36" i="2"/>
  <c r="F36" i="2"/>
  <c r="I36" i="2"/>
  <c r="D36" i="2"/>
  <c r="H36" i="2"/>
  <c r="C36" i="2"/>
  <c r="B54" i="2"/>
  <c r="C6" i="4"/>
  <c r="M43" i="2"/>
  <c r="L39" i="2"/>
  <c r="M44" i="2"/>
  <c r="G43" i="2"/>
  <c r="E23" i="4"/>
  <c r="F24" i="4" s="1"/>
  <c r="E14" i="2"/>
  <c r="E16" i="2" s="1"/>
  <c r="E32" i="2" s="1"/>
  <c r="I14" i="2"/>
  <c r="I16" i="2" s="1"/>
  <c r="I32" i="2" s="1"/>
  <c r="C10" i="4"/>
  <c r="F4" i="2"/>
  <c r="C14" i="4"/>
  <c r="K40" i="2"/>
  <c r="K13" i="2"/>
  <c r="K12" i="2" s="1"/>
  <c r="F44" i="2"/>
  <c r="F46" i="2"/>
  <c r="D46" i="2"/>
  <c r="D42" i="2"/>
  <c r="D43" i="2"/>
  <c r="C39" i="2"/>
  <c r="L46" i="2"/>
  <c r="L42" i="2"/>
  <c r="K36" i="2"/>
  <c r="F42" i="2"/>
  <c r="F43" i="2"/>
  <c r="B56" i="2"/>
  <c r="C11" i="4"/>
  <c r="E7" i="5"/>
  <c r="D7" i="5" s="1"/>
  <c r="D7" i="4"/>
  <c r="D12" i="4"/>
  <c r="D85" i="5"/>
  <c r="E85" i="5" s="1"/>
  <c r="E53" i="5" s="1"/>
  <c r="C71" i="2"/>
  <c r="E21" i="3"/>
  <c r="C20" i="3"/>
  <c r="D9" i="4"/>
  <c r="D11" i="4" s="1"/>
  <c r="D16" i="4" s="1"/>
  <c r="D24" i="4" s="1"/>
  <c r="E22" i="5"/>
  <c r="D22" i="5" s="1"/>
  <c r="D77" i="5"/>
  <c r="K46" i="2" l="1"/>
  <c r="K43" i="2"/>
  <c r="J39" i="2"/>
  <c r="E61" i="5"/>
  <c r="D61" i="5" s="1"/>
  <c r="D33" i="5"/>
  <c r="E20" i="3"/>
  <c r="D20" i="3" s="1"/>
  <c r="K44" i="2"/>
  <c r="I44" i="2"/>
  <c r="H15" i="2"/>
  <c r="I15" i="2"/>
  <c r="E44" i="2"/>
  <c r="D15" i="2"/>
  <c r="E15" i="2"/>
  <c r="D44" i="2"/>
  <c r="C15" i="2"/>
  <c r="C15" i="4" s="1"/>
  <c r="C4" i="4"/>
  <c r="H10" i="1" s="1"/>
  <c r="D14" i="4"/>
  <c r="C33" i="2"/>
  <c r="C74" i="2" s="1"/>
  <c r="E39" i="2"/>
  <c r="H11" i="1"/>
  <c r="E37" i="3"/>
  <c r="D37" i="3" s="1"/>
  <c r="F12" i="2"/>
  <c r="H19" i="3"/>
  <c r="C40" i="2"/>
  <c r="J44" i="2"/>
  <c r="J43" i="2"/>
  <c r="J42" i="2"/>
  <c r="I39" i="2"/>
  <c r="J46" i="2"/>
  <c r="F22" i="5"/>
  <c r="E62" i="5" s="1"/>
  <c r="E24" i="4"/>
  <c r="H38" i="2"/>
  <c r="H35" i="2"/>
  <c r="F38" i="2"/>
  <c r="F35" i="2"/>
  <c r="D56" i="2"/>
  <c r="E56" i="2" s="1"/>
  <c r="B57" i="2"/>
  <c r="F56" i="2"/>
  <c r="E13" i="2"/>
  <c r="E12" i="2" s="1"/>
  <c r="E39" i="3"/>
  <c r="D21" i="3"/>
  <c r="D18" i="4"/>
  <c r="D22" i="4" s="1"/>
  <c r="D60" i="4" s="1"/>
  <c r="E77" i="5"/>
  <c r="E52" i="5" s="1"/>
  <c r="E114" i="5"/>
  <c r="E113" i="5" s="1"/>
  <c r="K38" i="2"/>
  <c r="K35" i="2"/>
  <c r="C70" i="2"/>
  <c r="C12" i="4"/>
  <c r="D13" i="2"/>
  <c r="D12" i="2" s="1"/>
  <c r="J35" i="2"/>
  <c r="J38" i="2"/>
  <c r="G38" i="2"/>
  <c r="G35" i="2"/>
  <c r="C45" i="2"/>
  <c r="I13" i="2"/>
  <c r="I12" i="2" s="1"/>
  <c r="I40" i="2"/>
  <c r="L38" i="2"/>
  <c r="L35" i="2"/>
  <c r="F40" i="2"/>
  <c r="H40" i="2"/>
  <c r="D20" i="4" l="1"/>
  <c r="H20" i="3"/>
  <c r="G24" i="4"/>
  <c r="E38" i="3"/>
  <c r="C44" i="2"/>
  <c r="C46" i="2"/>
  <c r="C42" i="2"/>
  <c r="C43" i="2"/>
  <c r="I19" i="3"/>
  <c r="E43" i="3"/>
  <c r="H37" i="3"/>
  <c r="E39" i="5" s="1"/>
  <c r="D62" i="5"/>
  <c r="E16" i="4"/>
  <c r="D25" i="4"/>
  <c r="D57" i="2"/>
  <c r="E57" i="2" s="1"/>
  <c r="B58" i="2"/>
  <c r="F57" i="2"/>
  <c r="E35" i="2"/>
  <c r="E45" i="2"/>
  <c r="E38" i="2"/>
  <c r="E40" i="2"/>
  <c r="D72" i="2"/>
  <c r="C18" i="4"/>
  <c r="I35" i="2"/>
  <c r="I38" i="2"/>
  <c r="D45" i="2"/>
  <c r="D38" i="2"/>
  <c r="D35" i="2"/>
  <c r="D40" i="2"/>
  <c r="D39" i="3"/>
  <c r="H38" i="3"/>
  <c r="D38" i="3"/>
  <c r="E14" i="4" l="1"/>
  <c r="E15" i="4"/>
  <c r="F16" i="4"/>
  <c r="F18" i="4" s="1"/>
  <c r="F22" i="4" s="1"/>
  <c r="F25" i="4" s="1"/>
  <c r="D53" i="3"/>
  <c r="C35" i="4"/>
  <c r="E18" i="4"/>
  <c r="E21" i="4" s="1"/>
  <c r="D5" i="3"/>
  <c r="D6" i="3" s="1"/>
  <c r="E16" i="1" s="1"/>
  <c r="D43" i="3"/>
  <c r="I37" i="3"/>
  <c r="D39" i="5"/>
  <c r="E56" i="5" s="1"/>
  <c r="D58" i="2"/>
  <c r="E58" i="2" s="1"/>
  <c r="F58" i="2"/>
  <c r="B59" i="2"/>
  <c r="J60" i="4" l="1"/>
  <c r="J59" i="4"/>
  <c r="E22" i="4"/>
  <c r="E5" i="3"/>
  <c r="D56" i="5"/>
  <c r="E60" i="5" s="1"/>
  <c r="D60" i="5" s="1"/>
  <c r="E63" i="5" s="1"/>
  <c r="D59" i="2"/>
  <c r="E59" i="2" s="1"/>
  <c r="F59" i="2"/>
  <c r="B60" i="2"/>
  <c r="D60" i="2" l="1"/>
  <c r="E60" i="2" s="1"/>
  <c r="B61" i="2"/>
  <c r="F60" i="2"/>
  <c r="D61" i="2" l="1"/>
  <c r="E61" i="2" s="1"/>
  <c r="B62" i="2"/>
  <c r="F61" i="2"/>
  <c r="H6" i="3"/>
  <c r="F17" i="1" s="1"/>
  <c r="H16" i="1"/>
  <c r="H5" i="3"/>
  <c r="E17" i="1" s="1"/>
  <c r="H17" i="1" l="1"/>
  <c r="D62" i="2"/>
  <c r="E62" i="2" s="1"/>
  <c r="B63" i="2"/>
  <c r="F62" i="2"/>
  <c r="H23" i="1" l="1"/>
  <c r="C24" i="1" s="1"/>
  <c r="D63" i="2"/>
  <c r="E63" i="2" s="1"/>
  <c r="F63" i="2"/>
  <c r="B64" i="2"/>
  <c r="D64" i="2" l="1"/>
  <c r="E64" i="2" s="1"/>
  <c r="E65" i="2" s="1"/>
  <c r="F64" i="2"/>
  <c r="F66" i="2" s="1"/>
  <c r="D73" i="2" l="1"/>
  <c r="D69" i="2"/>
  <c r="D71" i="2"/>
  <c r="C21" i="4" s="1"/>
  <c r="C20" i="4" s="1"/>
  <c r="D74" i="2"/>
  <c r="D70" i="2" l="1"/>
  <c r="C16" i="4"/>
  <c r="D15" i="4" s="1"/>
  <c r="I11" i="1" l="1"/>
  <c r="G15" i="4"/>
  <c r="C28" i="4" s="1"/>
  <c r="C29" i="4" l="1"/>
  <c r="G16" i="4"/>
  <c r="C40" i="4" s="1"/>
  <c r="E25" i="4"/>
  <c r="C43" i="4" l="1"/>
  <c r="F51" i="4" s="1"/>
  <c r="G51" i="4" s="1"/>
  <c r="C31" i="4"/>
  <c r="C30" i="4"/>
  <c r="C36" i="4" s="1"/>
  <c r="C37" i="4" s="1"/>
  <c r="C57" i="4" s="1"/>
  <c r="F53" i="4"/>
  <c r="F52" i="4"/>
  <c r="G52" i="4" s="1"/>
  <c r="F54" i="4"/>
  <c r="E57" i="4" s="1"/>
  <c r="F49" i="4"/>
  <c r="G49" i="4" s="1"/>
  <c r="G18" i="4"/>
  <c r="D4" i="4"/>
  <c r="F50" i="4" l="1"/>
  <c r="G50" i="4" s="1"/>
  <c r="G53" i="4"/>
  <c r="C63" i="4"/>
  <c r="G54" i="4"/>
  <c r="G22" i="4"/>
  <c r="C41" i="4" s="1"/>
  <c r="I60" i="4" l="1"/>
  <c r="C42" i="4"/>
  <c r="D57" i="4"/>
  <c r="E56" i="4" s="1"/>
  <c r="E60" i="4" l="1"/>
  <c r="G60" i="4"/>
  <c r="C44" i="4"/>
  <c r="C45" i="4" s="1"/>
  <c r="D49" i="4"/>
  <c r="D50" i="4" s="1"/>
  <c r="D51" i="4" s="1"/>
  <c r="D52" i="4" s="1"/>
  <c r="D53" i="4" s="1"/>
  <c r="E48" i="4"/>
  <c r="E63" i="4"/>
  <c r="C16" i="1"/>
  <c r="F63" i="4"/>
  <c r="D17" i="1" s="1"/>
  <c r="G63" i="4" l="1"/>
  <c r="H22" i="1" s="1"/>
  <c r="H24" i="1" s="1"/>
  <c r="K58" i="4"/>
  <c r="C17" i="1"/>
  <c r="C52" i="4"/>
  <c r="F45" i="4"/>
  <c r="F44" i="4"/>
  <c r="C49" i="4"/>
  <c r="C53" i="4" l="1"/>
  <c r="C50" i="4"/>
  <c r="C51" i="4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<sst xmlns="http://schemas.openxmlformats.org/spreadsheetml/2006/main" count="476" uniqueCount="406">
  <si>
    <t>Company Info:</t>
  </si>
  <si>
    <t>Ticker:</t>
  </si>
  <si>
    <t>Listing Location:</t>
  </si>
  <si>
    <t>Ticker Name:</t>
  </si>
  <si>
    <t>Current Price:</t>
  </si>
  <si>
    <t>HKD</t>
  </si>
  <si>
    <t>Valuation Date:</t>
  </si>
  <si>
    <t>Number of Shares:</t>
  </si>
  <si>
    <t>Next Earnings Date:</t>
  </si>
  <si>
    <t>Capitalization:</t>
  </si>
  <si>
    <t>Discount Rate Assumptions</t>
  </si>
  <si>
    <t>Current Price Metrics</t>
  </si>
  <si>
    <t>Real Default-free Rate</t>
  </si>
  <si>
    <t>P/E Ratio &amp; Earnings Yield:</t>
  </si>
  <si>
    <t>Interest rate Premium</t>
  </si>
  <si>
    <t>CAP Discount rate</t>
  </si>
  <si>
    <t>P/B &amp; EV/EBIT Ratios:</t>
  </si>
  <si>
    <t>Long-run ERP</t>
  </si>
  <si>
    <t>Reporting Currency:</t>
  </si>
  <si>
    <t>TV Discount rate</t>
  </si>
  <si>
    <t>Exchange Rate:</t>
  </si>
  <si>
    <t>Valuation Output:</t>
  </si>
  <si>
    <t>Conservative FCF Value</t>
  </si>
  <si>
    <t>Realizable Asset Value</t>
  </si>
  <si>
    <t>Expected price per share (EP) =</t>
  </si>
  <si>
    <t>Buy/Asset Gap</t>
  </si>
  <si>
    <t>PE/PB</t>
  </si>
  <si>
    <t>Margin of Safty</t>
  </si>
  <si>
    <t>Forward Dividend Estimate:</t>
  </si>
  <si>
    <t>Ideal Price Return Analysis:</t>
  </si>
  <si>
    <t>Current Return Analysis:</t>
  </si>
  <si>
    <t>Ideal Price:</t>
  </si>
  <si>
    <t>PE =</t>
  </si>
  <si>
    <t>Current IRR =</t>
  </si>
  <si>
    <t>IRR:</t>
  </si>
  <si>
    <t>PB =</t>
  </si>
  <si>
    <t>Risk Premium =</t>
  </si>
  <si>
    <t>Pure Return:</t>
  </si>
  <si>
    <t xml:space="preserve"> Pure Return =</t>
  </si>
  <si>
    <t>Forward Dividend Yield:</t>
  </si>
  <si>
    <t>Forward Dividend Yield =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</si>
  <si>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</si>
  <si>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</si>
  <si>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</si>
  <si>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</si>
  <si>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</si>
  <si>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</si>
  <si>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</si>
  <si>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</si>
  <si>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</si>
  <si>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</si>
  <si>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</si>
  <si>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</si>
  <si>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</si>
  <si>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</si>
  <si>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</si>
  <si>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</si>
  <si>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</si>
  <si>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Figures in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</si>
  <si>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</si>
  <si>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</si>
  <si>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</si>
  <si>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</si>
  <si>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</si>
  <si>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</si>
  <si>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</si>
  <si>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</si>
  <si>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</si>
  <si>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</si>
  <si>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Interest Expense</t>
  </si>
  <si>
    <t>owner's NI</t>
  </si>
  <si>
    <t>Net Profit Margin</t>
  </si>
  <si>
    <t>Current Asset</t>
  </si>
  <si>
    <t>Current Liabilities</t>
  </si>
  <si>
    <t>ST Interest-bearing Debt</t>
  </si>
  <si>
    <t>LT Interest-bearing Debt</t>
  </si>
  <si>
    <t>Interest-bearing Debt</t>
  </si>
  <si>
    <t>Total Equity</t>
  </si>
  <si>
    <t>BV of Minority interests</t>
  </si>
  <si>
    <t>Cash &amp; Cash Equivalents</t>
  </si>
  <si>
    <t>Net PP&amp;E</t>
  </si>
  <si>
    <t>Δ PP&amp;E/PP&amp;E</t>
  </si>
  <si>
    <t>Estimated WCInv</t>
  </si>
  <si>
    <t>Δ Net PP&amp;E + WCInv</t>
  </si>
  <si>
    <t>Reinvestment/NOPAT</t>
  </si>
  <si>
    <t>Capital Employed</t>
  </si>
  <si>
    <t>Price Yield</t>
  </si>
  <si>
    <t>NOPAT Yield</t>
  </si>
  <si>
    <t>Earnings Yield</t>
  </si>
  <si>
    <t>Modified Dupont Analysis</t>
  </si>
  <si>
    <t>NOPAT Margin</t>
  </si>
  <si>
    <t>Capital Turnover Ratio</t>
  </si>
  <si>
    <t>NOPAT/Capital Employed</t>
  </si>
  <si>
    <t>Financial Leverage</t>
  </si>
  <si>
    <t>Long-term Debt / Equity</t>
  </si>
  <si>
    <t>Total Debt / Equity</t>
  </si>
  <si>
    <t>EBIT / Total Debt</t>
  </si>
  <si>
    <t>Interes Expense / EBIT</t>
  </si>
  <si>
    <t>Current Ratio</t>
  </si>
  <si>
    <t>Data Adjustments</t>
  </si>
  <si>
    <t>Assumed Non-cash WC/ Sales =</t>
  </si>
  <si>
    <t>Capitalize R&amp;D expenses?</t>
  </si>
  <si>
    <t>No</t>
  </si>
  <si>
    <t>To amortize R&amp;D expenses in</t>
  </si>
  <si>
    <t>Year</t>
  </si>
  <si>
    <t>R&amp;D Expense</t>
  </si>
  <si>
    <t>Unamortized portion</t>
  </si>
  <si>
    <t>Amortization this yr</t>
  </si>
  <si>
    <t>Value of Research Asset =</t>
  </si>
  <si>
    <t>Amortization of Asset for current year =</t>
  </si>
  <si>
    <t>Without capitalizing</t>
  </si>
  <si>
    <t>With capitalizing</t>
  </si>
  <si>
    <t>Industry</t>
  </si>
  <si>
    <t>Amortization Period</t>
  </si>
  <si>
    <t>Operating income</t>
  </si>
  <si>
    <t>Non-technological Service</t>
  </si>
  <si>
    <t>2 years</t>
  </si>
  <si>
    <t>Operating margin</t>
  </si>
  <si>
    <t>Retail, Tech Service</t>
  </si>
  <si>
    <t>3 years</t>
  </si>
  <si>
    <t>Reinvestment</t>
  </si>
  <si>
    <t>Light Manufacturing</t>
  </si>
  <si>
    <t>5 years</t>
  </si>
  <si>
    <t>NOPAT</t>
  </si>
  <si>
    <t>Heavy  Manufacturing</t>
  </si>
  <si>
    <t>10 years</t>
  </si>
  <si>
    <t>Net Income</t>
  </si>
  <si>
    <t>Research, with Patenting</t>
  </si>
  <si>
    <t>Invested capital</t>
  </si>
  <si>
    <t>Long Gestation Period</t>
  </si>
  <si>
    <t>Output</t>
  </si>
  <si>
    <t>Net Work per books  =</t>
  </si>
  <si>
    <t>Discount</t>
  </si>
  <si>
    <t>Net work as Ajusted to Quickly Realizable Values =</t>
  </si>
  <si>
    <t xml:space="preserve">PE = </t>
  </si>
  <si>
    <t>Adj. Value per Shares</t>
  </si>
  <si>
    <t xml:space="preserve">PB = </t>
  </si>
  <si>
    <t xml:space="preserve"> Inputs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</si>
  <si>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</si>
  <si>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</si>
  <si>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</si>
  <si>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</si>
  <si>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</si>
  <si>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</si>
  <si>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</si>
  <si>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ST FV Investments</t>
  </si>
  <si>
    <t>ST Salary</t>
  </si>
  <si>
    <t>ST non-FV Investments</t>
  </si>
  <si>
    <t>ST Lease liabilities</t>
  </si>
  <si>
    <t>ST AR</t>
  </si>
  <si>
    <t>ST AP</t>
  </si>
  <si>
    <t>Customer prepay. &amp; deposits</t>
  </si>
  <si>
    <t>ST SH Loan</t>
  </si>
  <si>
    <t>ST DTA</t>
  </si>
  <si>
    <t>ST DTL</t>
  </si>
  <si>
    <t>Inventory</t>
  </si>
  <si>
    <t>Other ST liabilities</t>
  </si>
  <si>
    <t>Other ST Assets</t>
  </si>
  <si>
    <t>ST-core Monetary Asset</t>
  </si>
  <si>
    <t>ST core LCR</t>
  </si>
  <si>
    <t>ST Monetary Asset</t>
  </si>
  <si>
    <t>ST LCR</t>
  </si>
  <si>
    <t>Current Assets</t>
  </si>
  <si>
    <t>PP&amp;E &amp; Related Deposits</t>
  </si>
  <si>
    <t>LT Borrowing</t>
  </si>
  <si>
    <t>Right-of-use assets</t>
  </si>
  <si>
    <t>LT Lease liabilities</t>
  </si>
  <si>
    <t>Investment property</t>
  </si>
  <si>
    <t>LT AP</t>
  </si>
  <si>
    <t>Investments in JV or associate</t>
  </si>
  <si>
    <t>LT SH Loan</t>
  </si>
  <si>
    <t>Intangible assets</t>
  </si>
  <si>
    <t>LT DTL</t>
  </si>
  <si>
    <t>LT FV Securities</t>
  </si>
  <si>
    <t>Other LT liabilities</t>
  </si>
  <si>
    <t>LT non-FV Securities</t>
  </si>
  <si>
    <t>LT DTA</t>
  </si>
  <si>
    <t>LT AR</t>
  </si>
  <si>
    <t>LT Depositis</t>
  </si>
  <si>
    <t>Other assets &amp; Goodwill</t>
  </si>
  <si>
    <t>Noncurrent Assets</t>
  </si>
  <si>
    <t>Noncurrent Liabilities</t>
  </si>
  <si>
    <t xml:space="preserve">Total Core Monetary Asset = </t>
  </si>
  <si>
    <t>core LCR =</t>
  </si>
  <si>
    <t xml:space="preserve">Total Monetary Asset = </t>
  </si>
  <si>
    <t>LCR =</t>
  </si>
  <si>
    <t>Total Assets =</t>
  </si>
  <si>
    <t>Total Liabilities =</t>
  </si>
  <si>
    <t>Balance Sheet items Adjustments</t>
  </si>
  <si>
    <t>1. MV of Minority Interests</t>
  </si>
  <si>
    <t>Minority Interest</t>
  </si>
  <si>
    <t>2. Total Debt and Options</t>
  </si>
  <si>
    <t>+ Preference Shares</t>
  </si>
  <si>
    <t>+ MV of the Options</t>
  </si>
  <si>
    <t>// If avg exercise price &gt; current price, then assume 0</t>
  </si>
  <si>
    <t>Interest-bearing Debt = Total Debt</t>
  </si>
  <si>
    <t>// Use BV Debt by default</t>
  </si>
  <si>
    <t>3. Non-operating Assets, STI &amp; Cash</t>
  </si>
  <si>
    <t>Discount %</t>
  </si>
  <si>
    <t>Quickly realizable Non-operating Assets</t>
  </si>
  <si>
    <t>Market EV</t>
  </si>
  <si>
    <t>FCF Model</t>
  </si>
  <si>
    <t>Value Drivers</t>
  </si>
  <si>
    <t>Terminal Growth</t>
  </si>
  <si>
    <t>// When forecasting: 1. decompose your forecast 2. inside &amp; outside views 3. invert by finding what's impossible to happen.</t>
  </si>
  <si>
    <t>Terminal Year</t>
  </si>
  <si>
    <t>Note</t>
  </si>
  <si>
    <t>Revenue Growth</t>
  </si>
  <si>
    <t>Total Revenue =</t>
  </si>
  <si>
    <t>COGS =</t>
  </si>
  <si>
    <t>Gross Margin =</t>
  </si>
  <si>
    <t xml:space="preserve">Gross profit = </t>
  </si>
  <si>
    <t>Operating Expenses =</t>
  </si>
  <si>
    <t>EBIT Margin =</t>
  </si>
  <si>
    <t>EBIT growth rate</t>
  </si>
  <si>
    <t>// Risk free as proxy in the Long-run, with an range of 3.5-5%</t>
  </si>
  <si>
    <t>Tax rate</t>
  </si>
  <si>
    <t>Incremental ROCE</t>
  </si>
  <si>
    <t>// 0 excess return assumption at terminal year</t>
  </si>
  <si>
    <t>// Growth rate=Reinvestment rate*ROIC in the Long-run</t>
  </si>
  <si>
    <t>FCFF</t>
  </si>
  <si>
    <t>Discount Rate</t>
  </si>
  <si>
    <t>Cumulated Discount factor</t>
  </si>
  <si>
    <t>PV of FCFF</t>
  </si>
  <si>
    <t>Base case return Scenario</t>
  </si>
  <si>
    <t>// used as the valuation floor</t>
  </si>
  <si>
    <t>Terminal Yr EBIT =</t>
  </si>
  <si>
    <t>NOPAT/TV Yield =</t>
  </si>
  <si>
    <t>Terminal Value =</t>
  </si>
  <si>
    <t>+ PV of Terminal Value =</t>
  </si>
  <si>
    <t>+ PV of FCFF =</t>
  </si>
  <si>
    <t>+ Non-Operating Asset</t>
  </si>
  <si>
    <t>+ Cash</t>
  </si>
  <si>
    <t>- Total outstanding debt =</t>
  </si>
  <si>
    <t>- MV of Minority Interests</t>
  </si>
  <si>
    <t>Value per common share =</t>
  </si>
  <si>
    <t>Value of equity per share =</t>
  </si>
  <si>
    <t>Normalized return Scenario</t>
  </si>
  <si>
    <t>Exit TV/NOPAT</t>
  </si>
  <si>
    <t>Exit NOPAT Rate</t>
  </si>
  <si>
    <t>Terminal Value</t>
  </si>
  <si>
    <t>Value per share</t>
  </si>
  <si>
    <t>LFY PE</t>
  </si>
  <si>
    <t>Worst case</t>
  </si>
  <si>
    <t>No excess return</t>
  </si>
  <si>
    <t>NOPAT yield &lt; Discount rate ⇒ growth expectation</t>
  </si>
  <si>
    <t>Reasonable Case</t>
  </si>
  <si>
    <t>Valuation Range =</t>
  </si>
  <si>
    <t xml:space="preserve">IRR = </t>
  </si>
  <si>
    <t>IRR Approach</t>
  </si>
  <si>
    <t>Outlay</t>
  </si>
  <si>
    <t>Implied TV</t>
  </si>
  <si>
    <t>E(Value per share)</t>
  </si>
  <si>
    <t>PE</t>
  </si>
  <si>
    <t>PB</t>
  </si>
  <si>
    <t>Current IRR</t>
  </si>
  <si>
    <t>Model Output =</t>
  </si>
  <si>
    <t>The expected value incoporates business risk</t>
  </si>
  <si>
    <t>Market Sentiment Assessment:</t>
  </si>
  <si>
    <t>1. Economy:</t>
  </si>
  <si>
    <t>Cold - Sluggish</t>
  </si>
  <si>
    <t>2. Outlook:</t>
  </si>
  <si>
    <t>Cold - Negative</t>
  </si>
  <si>
    <t>3. Lenders:</t>
  </si>
  <si>
    <t>Cold - Reticent</t>
  </si>
  <si>
    <t>4. Capital markets:</t>
  </si>
  <si>
    <t>Cold - Tight</t>
  </si>
  <si>
    <t>Macro Sentiment</t>
  </si>
  <si>
    <t>5. Capital:</t>
  </si>
  <si>
    <t>Cold - Scarce</t>
  </si>
  <si>
    <t>6. Terms:</t>
  </si>
  <si>
    <t>Cold - Restrictive</t>
  </si>
  <si>
    <t>7. Interest rates:</t>
  </si>
  <si>
    <t>Mixed</t>
  </si>
  <si>
    <t>8. Yield Spreads:</t>
  </si>
  <si>
    <t>Cold - Wide</t>
  </si>
  <si>
    <t>Avalibility of Money</t>
  </si>
  <si>
    <t>10. Asset owners:</t>
  </si>
  <si>
    <t>Cold - Rushing for the exits</t>
  </si>
  <si>
    <t>15. Asset prices:</t>
  </si>
  <si>
    <t>Cold - Low</t>
  </si>
  <si>
    <t>9. Investors:</t>
  </si>
  <si>
    <t>Cold - Pessimistic</t>
  </si>
  <si>
    <t>11. Sellers:</t>
  </si>
  <si>
    <t>Cold - Many</t>
  </si>
  <si>
    <t>Investment Market Sentiment</t>
  </si>
  <si>
    <t>12. Markets:</t>
  </si>
  <si>
    <t>Cold - "Worse is yet to come"</t>
  </si>
  <si>
    <t>13. Funds:</t>
  </si>
  <si>
    <t>Cold - Only the best can raise money</t>
  </si>
  <si>
    <t>14. Recent performance:</t>
  </si>
  <si>
    <t>Cold - Weak</t>
  </si>
  <si>
    <t>16. Popular qualities:</t>
  </si>
  <si>
    <t>Cold - "It's uninvestable"</t>
  </si>
  <si>
    <t>Financial market Sentiment</t>
  </si>
  <si>
    <t>Margin of Safety Analysis</t>
  </si>
  <si>
    <t>PART I: Earnings of the business</t>
  </si>
  <si>
    <t>1. Does the company have a non-cyclical business and a consistent earnings history?</t>
  </si>
  <si>
    <t>Strongly agree</t>
  </si>
  <si>
    <t xml:space="preserve">2. Does the company pay a decent and consistent dividend </t>
  </si>
  <si>
    <t>agree</t>
  </si>
  <si>
    <t>3. Does the company have simple operating revenue and cogs sources?</t>
  </si>
  <si>
    <r>
      <t xml:space="preserve">The </t>
    </r>
    <r>
      <rPr>
        <b/>
        <i/>
        <u/>
        <sz val="11"/>
        <color rgb="FF000000"/>
        <rFont val="Times New Roman"/>
        <family val="1"/>
      </rPr>
      <t>earnings forecast quality rating</t>
    </r>
    <r>
      <rPr>
        <b/>
        <i/>
        <sz val="11"/>
        <color rgb="FF000000"/>
        <rFont val="Times New Roman"/>
        <family val="1"/>
      </rPr>
      <t xml:space="preserve"> is:</t>
    </r>
  </si>
  <si>
    <t>PART II: Business Quality</t>
  </si>
  <si>
    <t>a. Business Tenets:</t>
  </si>
  <si>
    <t>1. Does the company have a consistent operating and earning and dividend history?</t>
  </si>
  <si>
    <t>2. Does the company have sustainable competitive advantages?</t>
  </si>
  <si>
    <t>3. Does the company have lots of reinvestment opportunities within their moats?</t>
  </si>
  <si>
    <t>unclear</t>
  </si>
  <si>
    <t>4. Does the company have low amount of operating leverage?</t>
  </si>
  <si>
    <t>disagree</t>
  </si>
  <si>
    <t>5. Does the company have a good opeartional risk management history?</t>
  </si>
  <si>
    <t>b. Financial Tenets:</t>
  </si>
  <si>
    <t>1. Is the company's balance sheet strong?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</si>
  <si>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</si>
  <si>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</si>
  <si>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</si>
  <si>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</si>
  <si>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c. Management Tenets:</t>
  </si>
  <si>
    <t>1. Is the company operated by the owner operator?</t>
  </si>
  <si>
    <t>2. Can the management make clear and smart decisions?</t>
  </si>
  <si>
    <t>3. Has management resisted the temptation to grow quickly by merger?</t>
  </si>
  <si>
    <t>4. Have the managers been buying the stock? Has the company resist buying back stock opportunistically?</t>
  </si>
  <si>
    <t>5. Are managers' interest positively aligned to benefit all stakeholders?</t>
  </si>
  <si>
    <t>d. Market Tenets (Porter's Five forces):</t>
  </si>
  <si>
    <t>1. Threat of New Entrants =</t>
  </si>
  <si>
    <t>2. Power of Suppliers =</t>
  </si>
  <si>
    <t>3. Power of Buyers =</t>
  </si>
  <si>
    <t>4. Threat of Substitutions =</t>
  </si>
  <si>
    <t>5. Rivalry among existing Competitors =</t>
  </si>
  <si>
    <r>
      <t xml:space="preserve">The </t>
    </r>
    <r>
      <rPr>
        <b/>
        <i/>
        <u/>
        <sz val="11"/>
        <color rgb="FF000000"/>
        <rFont val="Times New Roman"/>
        <family val="1"/>
      </rPr>
      <t>business quality rating</t>
    </r>
    <r>
      <rPr>
        <b/>
        <i/>
        <sz val="11"/>
        <color rgb="FF000000"/>
        <rFont val="Times New Roman"/>
        <family val="1"/>
      </rPr>
      <t xml:space="preserve"> is:</t>
    </r>
  </si>
  <si>
    <t>PART III: Valuation Error</t>
  </si>
  <si>
    <r>
      <t xml:space="preserve">1. </t>
    </r>
    <r>
      <rPr>
        <b/>
        <sz val="11"/>
        <color rgb="FF000000"/>
        <rFont val="Times New Roman"/>
        <family val="1"/>
      </rPr>
      <t>Reputation Risk</t>
    </r>
    <r>
      <rPr>
        <sz val="11"/>
        <color rgb="FF000000"/>
        <rFont val="Times New Roman"/>
        <family val="1"/>
      </rPr>
      <t>: Does the company have a good reputation?</t>
    </r>
  </si>
  <si>
    <r>
      <t xml:space="preserve">2. </t>
    </r>
    <r>
      <rPr>
        <b/>
        <sz val="11"/>
        <color rgb="FF000000"/>
        <rFont val="Times New Roman"/>
        <family val="1"/>
      </rPr>
      <t>Business Risk:</t>
    </r>
    <r>
      <rPr>
        <sz val="11"/>
        <color rgb="FF000000"/>
        <rFont val="Times New Roman"/>
        <family val="1"/>
      </rPr>
      <t xml:space="preserve"> Does the company have a potent and predictable business?</t>
    </r>
  </si>
  <si>
    <r>
      <t xml:space="preserve">3. </t>
    </r>
    <r>
      <rPr>
        <b/>
        <sz val="11"/>
        <color rgb="FF000000"/>
        <rFont val="Times New Roman"/>
        <family val="1"/>
      </rPr>
      <t>Forecast Risk</t>
    </r>
    <r>
      <rPr>
        <sz val="11"/>
        <color rgb="FF000000"/>
        <rFont val="Times New Roman"/>
        <family val="1"/>
      </rPr>
      <t>: Does the company have stable and consistent earnings and dividend?</t>
    </r>
  </si>
  <si>
    <r>
      <t xml:space="preserve">4. </t>
    </r>
    <r>
      <rPr>
        <b/>
        <sz val="11"/>
        <color rgb="FF000000"/>
        <rFont val="Times New Roman"/>
        <family val="1"/>
      </rPr>
      <t>Financial market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Times New Roman"/>
        <family val="1"/>
      </rPr>
      <t>risk:</t>
    </r>
    <r>
      <rPr>
        <sz val="11"/>
        <color rgb="FF000000"/>
        <rFont val="Times New Roman"/>
        <family val="1"/>
      </rPr>
      <t xml:space="preserve"> Is the market sentiment not in extreme?</t>
    </r>
  </si>
  <si>
    <r>
      <t xml:space="preserve">The </t>
    </r>
    <r>
      <rPr>
        <b/>
        <i/>
        <u/>
        <sz val="11"/>
        <color rgb="FF000000"/>
        <rFont val="Times New Roman"/>
        <family val="1"/>
      </rPr>
      <t>valuation quality rating</t>
    </r>
    <r>
      <rPr>
        <b/>
        <i/>
        <sz val="11"/>
        <color rgb="FF000000"/>
        <rFont val="Times New Roman"/>
        <family val="1"/>
      </rPr>
      <t xml:space="preserve"> is:</t>
    </r>
  </si>
  <si>
    <t>Competitive enviroment analysis to estimate CAP</t>
  </si>
  <si>
    <t>To answer the below questions, Each force is ranked by Very High, High, Medium, Low, and Very Low:</t>
  </si>
  <si>
    <t>I. Threat of New Entrants =</t>
  </si>
  <si>
    <t>1. There is no cost advantage associated with the supply-side economics of scale.</t>
  </si>
  <si>
    <t>Strongly disagree</t>
  </si>
  <si>
    <t>2. There is no network effect associated with the products/services.</t>
  </si>
  <si>
    <t>3. There is low customer switching cost.</t>
  </si>
  <si>
    <t>4. There are low capital requirements.</t>
  </si>
  <si>
    <t xml:space="preserve">5. There is no incumbency advantages independent of size. (like management skill etc) </t>
  </si>
  <si>
    <t>6. There are equal access to distribution channels.</t>
  </si>
  <si>
    <t>7. There is no restrictive government policy.</t>
  </si>
  <si>
    <t>8. There is little "real" brand barriers. (like the trust in brands in food industry)</t>
  </si>
  <si>
    <t>II. Power of Suppliers =</t>
  </si>
  <si>
    <t>1. The supplier is more concentrated than the industry it sells to.</t>
  </si>
  <si>
    <t>2. The supplier group does not depends heavily on the industry for its revenues.</t>
  </si>
  <si>
    <t>3. There is high switching costs in changing suppliers.</t>
  </si>
  <si>
    <t>4. The suppliers offer products that are differentiated.</t>
  </si>
  <si>
    <t>5. There is no substitute for what the supplier group provides.</t>
  </si>
  <si>
    <t>6. The supplier group can credibly threaten to integrate forward into the industry.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</si>
  <si>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</si>
  <si>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</si>
  <si>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</si>
  <si>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</si>
  <si>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</si>
  <si>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</si>
  <si>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6.The buyer group earns low income, or is strapped for cash.</t>
  </si>
  <si>
    <t>7. The buyers are little affacted by the industry's product.</t>
  </si>
  <si>
    <t>8. The industry’s product has little effect on the buyer’s other costs.</t>
  </si>
  <si>
    <t>IV. Threat of Substitutions =</t>
  </si>
  <si>
    <t>1. There is an unfavorable gap in the price or performance when compared.</t>
  </si>
  <si>
    <t>2. The buyer's cost of switching to the substitute is low.</t>
  </si>
  <si>
    <t>3. It's likely the substitutes will become very attractive in three to five years.</t>
  </si>
  <si>
    <t>4. The company have a negative ESG value.</t>
  </si>
  <si>
    <t>5. How long is the industry average asset life?</t>
  </si>
  <si>
    <t>V. Rivalry among existing Competitors =</t>
  </si>
  <si>
    <t>1. There are numerous competitors or are roughly equal in size and power.</t>
  </si>
  <si>
    <t>2. Industry growth is slow.</t>
  </si>
  <si>
    <t>3. Exit barriers are high.</t>
  </si>
  <si>
    <t>4. Rivals are highly committed to the business and have aspirations for leadership.</t>
  </si>
  <si>
    <t>5. Firms cannot read each other’s signals well.</t>
  </si>
  <si>
    <t>6. Products or services of rivals are nearly identical with few buyer switching costs.</t>
  </si>
  <si>
    <t>7. Fixed costs are high and marginal costs are low.</t>
  </si>
  <si>
    <t>8. Capacity must be expanded in large increments to be efficient.</t>
  </si>
  <si>
    <t>9. The product is perishable (The opposition is product that gets better with age).</t>
  </si>
  <si>
    <t>Conclusion: the Industry Competition level is</t>
  </si>
  <si>
    <t>Length of the CAP suggested by the Porter's Five Forces</t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</si>
  <si>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</si>
  <si>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</si>
  <si>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</si>
  <si>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</si>
  <si>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</si>
  <si>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</si>
  <si>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</si>
  <si>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</si>
  <si>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</si>
  <si>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</si>
  <si>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</si>
  <si>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</si>
  <si>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VALUE PARTNERS</t>
  </si>
  <si>
    <t>0806.HK</t>
  </si>
  <si>
    <t>HKG</t>
  </si>
  <si>
    <t>It's a HK listed hedge fund with net realizable assets higher than its market cap and a potentially profitable cyclical business.</t>
  </si>
  <si>
    <t>1. Strong BS that will withstand the current bad perfomance.
2. Negative EV with lots of Monetary investments.
3. Low operating expenses in a cyclical business.</t>
  </si>
  <si>
    <t>1. The AUM has fallen so much to a point that the company is no longer operatingly profitable
2. depends largely on uncontrolable market performance.</t>
  </si>
  <si>
    <t>The performance is at a historical low point, which ,given its strong BS and business, would likely give rise to the reversion to mean effect at the market recovery.</t>
  </si>
  <si>
    <t>1. The US interest rate raises the bar for Risk-free yield.
2. The investment value may drop because the Chinese economy is going through a prolonged deleveraging and covid crisises.</t>
  </si>
  <si>
    <t>Information Technology Like, 6.6y</t>
  </si>
  <si>
    <t>non-perishable</t>
  </si>
  <si>
    <t>Investment Horizon: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</si>
</sst>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6" formatCode="&quot;$&quot;#,##0_);[Red]\(&quot;$&quot;#,##0\)"/>
    <numFmt numFmtId="8" formatCode="&quot;$&quot;#,##0.00_);[Red]\(&quot;$&quot;#,##0.00\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\ &quot;Years&quot;"/>
    <numFmt numFmtId="174" formatCode="&quot;Past Actual &quot;0&quot;Y&quot;"/>
    <numFmt numFmtId="175" formatCode="0.00&quot;x&quot;"/>
    <numFmt numFmtId="176" formatCode="&quot;Past &quot;0&quot; yrs Avg. NOPAT&quot;"/>
    <numFmt numFmtId="177" formatCode="&quot;Total &quot;0%"/>
    <numFmt numFmtId="178" formatCode="#,##0;[Red]\(#,##0\);\-"/>
    <numFmt numFmtId="179" formatCode="#,##0.0000"/>
  </numFmts>
  <fonts count="28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i/>
      <sz val="11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i/>
      <u/>
      <sz val="11"/>
      <color theme="1"/>
      <name val="Times New Roman"/>
      <family val="1"/>
    </font>
    <font>
      <u/>
      <sz val="11"/>
      <color rgb="FF0000FF"/>
      <name val="Times New Roman"/>
      <family val="1"/>
    </font>
    <font>
      <u/>
      <sz val="11"/>
      <color theme="1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</fonts>
  <fills count="20">
    <fill>
      <patternFill patternType="none"/>
    </fill>
    <fill>
      <patternFill patternType="gray125"/>
    </fill>
    <fill>
      <patternFill patternType="solid">
        <fgColor rgb="FFCC4125"/>
        <bgColor rgb="FFCC4125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1C4587"/>
        <bgColor rgb="FF1C4587"/>
      </patternFill>
    </fill>
    <fill>
      <patternFill patternType="solid">
        <fgColor rgb="FFA4C2F4"/>
        <bgColor rgb="FFA4C2F4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2" tint="-0.14999847407452621"/>
        <bgColor rgb="FFB6D7A8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</fills>
  <borders count="52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uble">
        <color rgb="FF000000"/>
      </top>
      <bottom/>
      <diagonal/>
    </border>
    <border>
      <left/>
      <right style="dotted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indexed="64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/>
      <top/>
      <bottom style="thin">
        <color rgb="FF000000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10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5" borderId="9" xfId="0" applyFont="1" applyFill="1" applyBorder="1"/>
    <xf numFmtId="0" fontId="8" fillId="0" borderId="2" xfId="0" applyFont="1" applyBorder="1" applyAlignment="1">
      <alignment horizontal="center"/>
    </xf>
    <xf numFmtId="0" fontId="5" fillId="10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8" fillId="0" borderId="2" xfId="0" applyFont="1" applyBorder="1" applyAlignment="1">
      <alignment horizontal="right"/>
    </xf>
    <xf numFmtId="0" fontId="6" fillId="0" borderId="2" xfId="0" applyFont="1" applyBorder="1"/>
    <xf numFmtId="10" fontId="1" fillId="0" borderId="19" xfId="0" applyNumberFormat="1" applyFont="1" applyBorder="1" applyAlignment="1">
      <alignment horizontal="center"/>
    </xf>
    <xf numFmtId="0" fontId="16" fillId="11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7" fillId="11" borderId="9" xfId="0" applyFont="1" applyFill="1" applyBorder="1"/>
    <xf numFmtId="167" fontId="1" fillId="0" borderId="13" xfId="0" applyNumberFormat="1" applyFont="1" applyBorder="1" applyAlignment="1">
      <alignment horizontal="center"/>
    </xf>
    <xf numFmtId="0" fontId="15" fillId="0" borderId="9" xfId="0" applyFont="1" applyBorder="1" applyAlignment="1">
      <alignment horizontal="right"/>
    </xf>
    <xf numFmtId="0" fontId="3" fillId="0" borderId="2" xfId="0" applyFont="1" applyBorder="1" applyAlignment="1">
      <alignment horizontal="center"/>
    </xf>
    <xf numFmtId="166" fontId="8" fillId="0" borderId="20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8" fontId="3" fillId="0" borderId="9" xfId="0" applyNumberFormat="1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10" fontId="1" fillId="4" borderId="13" xfId="0" applyNumberFormat="1" applyFont="1" applyFill="1" applyBorder="1" applyAlignment="1">
      <alignment horizontal="center"/>
    </xf>
    <xf numFmtId="0" fontId="16" fillId="11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10" fontId="1" fillId="4" borderId="20" xfId="0" applyNumberFormat="1" applyFont="1" applyFill="1" applyBorder="1" applyAlignment="1">
      <alignment horizontal="center"/>
    </xf>
    <xf numFmtId="0" fontId="1" fillId="0" borderId="19" xfId="0" applyFont="1" applyBorder="1" applyAlignment="1">
      <alignment horizontal="center"/>
    </xf>
    <xf numFmtId="166" fontId="1" fillId="0" borderId="20" xfId="0" applyNumberFormat="1" applyFont="1" applyBorder="1" applyAlignment="1">
      <alignment horizontal="center"/>
    </xf>
    <xf numFmtId="167" fontId="1" fillId="0" borderId="20" xfId="0" applyNumberFormat="1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2" fillId="13" borderId="13" xfId="0" applyFont="1" applyFill="1" applyBorder="1" applyAlignment="1">
      <alignment horizontal="center"/>
    </xf>
    <xf numFmtId="0" fontId="2" fillId="13" borderId="17" xfId="0" applyFont="1" applyFill="1" applyBorder="1" applyAlignment="1">
      <alignment horizontal="center"/>
    </xf>
    <xf numFmtId="4" fontId="2" fillId="13" borderId="21" xfId="0" applyNumberFormat="1" applyFont="1" applyFill="1" applyBorder="1" applyAlignment="1">
      <alignment horizontal="right"/>
    </xf>
    <xf numFmtId="0" fontId="2" fillId="13" borderId="22" xfId="0" applyFont="1" applyFill="1" applyBorder="1" applyAlignment="1">
      <alignment horizontal="left"/>
    </xf>
    <xf numFmtId="10" fontId="2" fillId="13" borderId="18" xfId="0" applyNumberFormat="1" applyFont="1" applyFill="1" applyBorder="1" applyAlignment="1">
      <alignment horizontal="center"/>
    </xf>
    <xf numFmtId="6" fontId="2" fillId="13" borderId="2" xfId="0" applyNumberFormat="1" applyFont="1" applyFill="1" applyBorder="1" applyAlignment="1">
      <alignment horizontal="center"/>
    </xf>
    <xf numFmtId="3" fontId="2" fillId="13" borderId="13" xfId="0" applyNumberFormat="1" applyFont="1" applyFill="1" applyBorder="1" applyAlignment="1">
      <alignment horizontal="center"/>
    </xf>
    <xf numFmtId="0" fontId="3" fillId="5" borderId="9" xfId="0" applyFont="1" applyFill="1" applyBorder="1"/>
    <xf numFmtId="0" fontId="18" fillId="0" borderId="0" xfId="0" applyFont="1"/>
    <xf numFmtId="0" fontId="10" fillId="0" borderId="0" xfId="0" applyFont="1"/>
    <xf numFmtId="0" fontId="3" fillId="10" borderId="9" xfId="0" applyFont="1" applyFill="1" applyBorder="1"/>
    <xf numFmtId="0" fontId="10" fillId="0" borderId="2" xfId="0" applyFont="1" applyBorder="1"/>
    <xf numFmtId="172" fontId="2" fillId="13" borderId="9" xfId="0" applyNumberFormat="1" applyFont="1" applyFill="1" applyBorder="1" applyAlignment="1">
      <alignment horizontal="left"/>
    </xf>
    <xf numFmtId="3" fontId="1" fillId="8" borderId="17" xfId="0" applyNumberFormat="1" applyFont="1" applyFill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76" fontId="7" fillId="0" borderId="9" xfId="0" applyNumberFormat="1" applyFont="1" applyBorder="1" applyAlignment="1">
      <alignment horizontal="left"/>
    </xf>
    <xf numFmtId="3" fontId="1" fillId="8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0" borderId="9" xfId="0" applyFont="1" applyBorder="1" applyAlignment="1">
      <alignment wrapText="1"/>
    </xf>
    <xf numFmtId="0" fontId="19" fillId="7" borderId="5" xfId="0" applyFont="1" applyFill="1" applyBorder="1" applyAlignment="1">
      <alignment horizontal="center"/>
    </xf>
    <xf numFmtId="0" fontId="19" fillId="7" borderId="25" xfId="0" applyFont="1" applyFill="1" applyBorder="1" applyAlignment="1">
      <alignment horizontal="center"/>
    </xf>
    <xf numFmtId="0" fontId="20" fillId="0" borderId="32" xfId="0" applyFont="1" applyBorder="1" applyAlignment="1">
      <alignment horizontal="center" wrapText="1"/>
    </xf>
    <xf numFmtId="0" fontId="20" fillId="0" borderId="33" xfId="0" applyFont="1" applyBorder="1" applyAlignment="1">
      <alignment horizontal="center" wrapText="1"/>
    </xf>
    <xf numFmtId="3" fontId="1" fillId="4" borderId="13" xfId="0" applyNumberFormat="1" applyFont="1" applyFill="1" applyBorder="1" applyAlignment="1">
      <alignment horizontal="center"/>
    </xf>
    <xf numFmtId="0" fontId="20" fillId="0" borderId="34" xfId="0" applyFont="1" applyBorder="1" applyAlignment="1">
      <alignment horizontal="center" wrapText="1"/>
    </xf>
    <xf numFmtId="3" fontId="1" fillId="0" borderId="20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10" fontId="1" fillId="0" borderId="27" xfId="0" applyNumberFormat="1" applyFont="1" applyBorder="1" applyAlignment="1">
      <alignment horizontal="center"/>
    </xf>
    <xf numFmtId="10" fontId="1" fillId="0" borderId="20" xfId="0" applyNumberFormat="1" applyFont="1" applyBorder="1" applyAlignment="1">
      <alignment horizontal="center"/>
    </xf>
    <xf numFmtId="4" fontId="1" fillId="0" borderId="13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5" fillId="0" borderId="1" xfId="0" applyFont="1" applyBorder="1"/>
    <xf numFmtId="0" fontId="1" fillId="0" borderId="5" xfId="0" applyFont="1" applyBorder="1"/>
    <xf numFmtId="2" fontId="19" fillId="2" borderId="4" xfId="0" applyNumberFormat="1" applyFont="1" applyFill="1" applyBorder="1" applyAlignment="1">
      <alignment horizontal="center"/>
    </xf>
    <xf numFmtId="2" fontId="19" fillId="2" borderId="9" xfId="0" applyNumberFormat="1" applyFont="1" applyFill="1" applyBorder="1" applyAlignment="1">
      <alignment horizontal="center"/>
    </xf>
    <xf numFmtId="2" fontId="19" fillId="2" borderId="3" xfId="0" applyNumberFormat="1" applyFont="1" applyFill="1" applyBorder="1"/>
    <xf numFmtId="2" fontId="1" fillId="4" borderId="4" xfId="0" applyNumberFormat="1" applyFont="1" applyFill="1" applyBorder="1" applyAlignment="1">
      <alignment horizontal="center"/>
    </xf>
    <xf numFmtId="1" fontId="2" fillId="3" borderId="9" xfId="0" applyNumberFormat="1" applyFont="1" applyFill="1" applyBorder="1" applyAlignment="1">
      <alignment horizontal="center"/>
    </xf>
    <xf numFmtId="2" fontId="1" fillId="4" borderId="9" xfId="0" applyNumberFormat="1" applyFont="1" applyFill="1" applyBorder="1" applyAlignment="1">
      <alignment horizontal="center"/>
    </xf>
    <xf numFmtId="1" fontId="1" fillId="4" borderId="9" xfId="0" applyNumberFormat="1" applyFont="1" applyFill="1" applyBorder="1" applyAlignment="1">
      <alignment horizontal="center"/>
    </xf>
    <xf numFmtId="1" fontId="1" fillId="4" borderId="3" xfId="0" applyNumberFormat="1" applyFont="1" applyFill="1" applyBorder="1" applyAlignment="1">
      <alignment horizontal="right"/>
    </xf>
    <xf numFmtId="1" fontId="1" fillId="4" borderId="4" xfId="0" applyNumberFormat="1" applyFont="1" applyFill="1" applyBorder="1" applyAlignment="1">
      <alignment horizontal="center"/>
    </xf>
    <xf numFmtId="0" fontId="1" fillId="0" borderId="4" xfId="0" applyFont="1" applyBorder="1"/>
    <xf numFmtId="0" fontId="1" fillId="0" borderId="3" xfId="0" applyFont="1" applyBorder="1"/>
    <xf numFmtId="0" fontId="19" fillId="2" borderId="4" xfId="0" applyFont="1" applyFill="1" applyBorder="1"/>
    <xf numFmtId="0" fontId="19" fillId="2" borderId="9" xfId="0" applyFont="1" applyFill="1" applyBorder="1" applyAlignment="1">
      <alignment horizontal="center"/>
    </xf>
    <xf numFmtId="0" fontId="21" fillId="0" borderId="0" xfId="0" applyFont="1"/>
    <xf numFmtId="0" fontId="21" fillId="0" borderId="3" xfId="0" applyFont="1" applyBorder="1"/>
    <xf numFmtId="3" fontId="1" fillId="4" borderId="9" xfId="0" applyNumberFormat="1" applyFont="1" applyFill="1" applyBorder="1" applyAlignment="1">
      <alignment horizontal="center"/>
    </xf>
    <xf numFmtId="10" fontId="1" fillId="4" borderId="9" xfId="0" applyNumberFormat="1" applyFont="1" applyFill="1" applyBorder="1" applyAlignment="1">
      <alignment horizontal="center"/>
    </xf>
    <xf numFmtId="0" fontId="1" fillId="0" borderId="7" xfId="0" applyFont="1" applyBorder="1"/>
    <xf numFmtId="3" fontId="1" fillId="4" borderId="2" xfId="0" applyNumberFormat="1" applyFont="1" applyFill="1" applyBorder="1" applyAlignment="1">
      <alignment horizontal="center"/>
    </xf>
    <xf numFmtId="0" fontId="1" fillId="0" borderId="8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17" xfId="0" applyNumberFormat="1" applyFont="1" applyBorder="1"/>
    <xf numFmtId="0" fontId="1" fillId="0" borderId="0" xfId="0" quotePrefix="1" applyFont="1"/>
    <xf numFmtId="3" fontId="1" fillId="0" borderId="16" xfId="0" applyNumberFormat="1" applyFont="1" applyBorder="1"/>
    <xf numFmtId="0" fontId="16" fillId="0" borderId="9" xfId="0" applyFont="1" applyBorder="1" applyAlignment="1">
      <alignment horizontal="center"/>
    </xf>
    <xf numFmtId="4" fontId="1" fillId="4" borderId="31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9" borderId="9" xfId="0" applyFont="1" applyFill="1" applyBorder="1"/>
    <xf numFmtId="3" fontId="2" fillId="12" borderId="13" xfId="0" applyNumberFormat="1" applyFont="1" applyFill="1" applyBorder="1"/>
    <xf numFmtId="10" fontId="2" fillId="12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3" fontId="8" fillId="0" borderId="13" xfId="0" applyNumberFormat="1" applyFont="1" applyBorder="1" applyAlignment="1">
      <alignment horizontal="center"/>
    </xf>
    <xf numFmtId="167" fontId="8" fillId="4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3" fontId="2" fillId="12" borderId="13" xfId="0" applyNumberFormat="1" applyFont="1" applyFill="1" applyBorder="1" applyAlignment="1">
      <alignment horizontal="center"/>
    </xf>
    <xf numFmtId="0" fontId="21" fillId="0" borderId="9" xfId="0" applyFont="1" applyBorder="1" applyAlignment="1">
      <alignment horizontal="center" vertical="center"/>
    </xf>
    <xf numFmtId="174" fontId="22" fillId="12" borderId="9" xfId="0" applyNumberFormat="1" applyFont="1" applyFill="1" applyBorder="1" applyAlignment="1">
      <alignment horizontal="center"/>
    </xf>
    <xf numFmtId="0" fontId="23" fillId="0" borderId="9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10" fontId="1" fillId="0" borderId="20" xfId="0" applyNumberFormat="1" applyFont="1" applyBorder="1" applyAlignment="1">
      <alignment horizontal="center" vertical="center"/>
    </xf>
    <xf numFmtId="10" fontId="5" fillId="0" borderId="20" xfId="0" applyNumberFormat="1" applyFont="1" applyBorder="1" applyAlignment="1">
      <alignment horizontal="center" vertical="center"/>
    </xf>
    <xf numFmtId="10" fontId="2" fillId="0" borderId="9" xfId="0" applyNumberFormat="1" applyFont="1" applyBorder="1" applyAlignment="1">
      <alignment horizontal="left"/>
    </xf>
    <xf numFmtId="0" fontId="18" fillId="0" borderId="9" xfId="0" applyFont="1" applyBorder="1" applyAlignment="1">
      <alignment vertical="center"/>
    </xf>
    <xf numFmtId="0" fontId="17" fillId="0" borderId="0" xfId="0" applyFont="1"/>
    <xf numFmtId="10" fontId="1" fillId="4" borderId="17" xfId="0" applyNumberFormat="1" applyFont="1" applyFill="1" applyBorder="1" applyAlignment="1">
      <alignment horizontal="center"/>
    </xf>
    <xf numFmtId="10" fontId="2" fillId="12" borderId="17" xfId="0" applyNumberFormat="1" applyFont="1" applyFill="1" applyBorder="1" applyAlignment="1">
      <alignment horizontal="center"/>
    </xf>
    <xf numFmtId="0" fontId="2" fillId="0" borderId="0" xfId="0" applyFont="1"/>
    <xf numFmtId="3" fontId="5" fillId="0" borderId="13" xfId="0" applyNumberFormat="1" applyFont="1" applyBorder="1" applyAlignment="1">
      <alignment horizontal="center"/>
    </xf>
    <xf numFmtId="3" fontId="1" fillId="4" borderId="20" xfId="0" applyNumberFormat="1" applyFont="1" applyFill="1" applyBorder="1" applyAlignment="1">
      <alignment horizontal="center"/>
    </xf>
    <xf numFmtId="0" fontId="3" fillId="0" borderId="9" xfId="0" applyFont="1" applyBorder="1"/>
    <xf numFmtId="10" fontId="4" fillId="12" borderId="17" xfId="0" applyNumberFormat="1" applyFont="1" applyFill="1" applyBorder="1" applyAlignment="1">
      <alignment horizontal="center"/>
    </xf>
    <xf numFmtId="10" fontId="3" fillId="4" borderId="13" xfId="0" applyNumberFormat="1" applyFont="1" applyFill="1" applyBorder="1" applyAlignment="1">
      <alignment horizontal="center"/>
    </xf>
    <xf numFmtId="10" fontId="4" fillId="12" borderId="13" xfId="0" applyNumberFormat="1" applyFont="1" applyFill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3" fontId="2" fillId="12" borderId="20" xfId="0" applyNumberFormat="1" applyFont="1" applyFill="1" applyBorder="1" applyAlignment="1">
      <alignment horizontal="center"/>
    </xf>
    <xf numFmtId="0" fontId="1" fillId="0" borderId="9" xfId="0" applyFont="1" applyBorder="1" applyAlignment="1">
      <alignment horizontal="right"/>
    </xf>
    <xf numFmtId="10" fontId="3" fillId="0" borderId="13" xfId="0" applyNumberFormat="1" applyFont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10" fontId="2" fillId="12" borderId="20" xfId="0" applyNumberFormat="1" applyFont="1" applyFill="1" applyBorder="1" applyAlignment="1">
      <alignment horizontal="center"/>
    </xf>
    <xf numFmtId="3" fontId="1" fillId="0" borderId="17" xfId="0" applyNumberFormat="1" applyFont="1" applyBorder="1" applyAlignment="1">
      <alignment horizontal="center"/>
    </xf>
    <xf numFmtId="3" fontId="1" fillId="4" borderId="17" xfId="0" applyNumberFormat="1" applyFont="1" applyFill="1" applyBorder="1" applyAlignment="1">
      <alignment horizontal="center"/>
    </xf>
    <xf numFmtId="3" fontId="2" fillId="0" borderId="0" xfId="0" applyNumberFormat="1" applyFont="1" applyAlignment="1">
      <alignment horizontal="center"/>
    </xf>
    <xf numFmtId="10" fontId="1" fillId="6" borderId="13" xfId="0" applyNumberFormat="1" applyFont="1" applyFill="1" applyBorder="1" applyAlignment="1">
      <alignment horizontal="center"/>
    </xf>
    <xf numFmtId="0" fontId="1" fillId="0" borderId="10" xfId="0" applyFont="1" applyBorder="1" applyAlignment="1">
      <alignment horizontal="left"/>
    </xf>
    <xf numFmtId="3" fontId="1" fillId="0" borderId="26" xfId="0" applyNumberFormat="1" applyFont="1" applyBorder="1" applyAlignment="1">
      <alignment horizontal="center"/>
    </xf>
    <xf numFmtId="3" fontId="2" fillId="12" borderId="26" xfId="0" applyNumberFormat="1" applyFont="1" applyFill="1" applyBorder="1" applyAlignment="1">
      <alignment horizontal="center"/>
    </xf>
    <xf numFmtId="3" fontId="1" fillId="4" borderId="26" xfId="0" applyNumberFormat="1" applyFont="1" applyFill="1" applyBorder="1" applyAlignment="1">
      <alignment horizontal="center"/>
    </xf>
    <xf numFmtId="3" fontId="2" fillId="0" borderId="9" xfId="0" applyNumberFormat="1" applyFont="1" applyBorder="1" applyAlignment="1">
      <alignment horizontal="center"/>
    </xf>
    <xf numFmtId="3" fontId="1" fillId="4" borderId="19" xfId="0" applyNumberFormat="1" applyFont="1" applyFill="1" applyBorder="1" applyAlignment="1">
      <alignment horizontal="center"/>
    </xf>
    <xf numFmtId="3" fontId="1" fillId="0" borderId="1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10" fontId="1" fillId="4" borderId="26" xfId="0" applyNumberFormat="1" applyFont="1" applyFill="1" applyBorder="1" applyAlignment="1">
      <alignment horizontal="center"/>
    </xf>
    <xf numFmtId="10" fontId="1" fillId="0" borderId="26" xfId="0" applyNumberFormat="1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10" xfId="0" applyNumberFormat="1" applyFont="1" applyBorder="1" applyAlignment="1">
      <alignment horizontal="center"/>
    </xf>
    <xf numFmtId="0" fontId="5" fillId="0" borderId="0" xfId="0" quotePrefix="1" applyFont="1"/>
    <xf numFmtId="3" fontId="1" fillId="0" borderId="23" xfId="0" applyNumberFormat="1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2" fontId="1" fillId="0" borderId="20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0" fontId="16" fillId="0" borderId="9" xfId="0" applyFont="1" applyBorder="1" applyAlignment="1">
      <alignment horizontal="right"/>
    </xf>
    <xf numFmtId="167" fontId="1" fillId="0" borderId="9" xfId="0" applyNumberFormat="1" applyFont="1" applyBorder="1" applyAlignment="1">
      <alignment horizontal="center"/>
    </xf>
    <xf numFmtId="0" fontId="8" fillId="0" borderId="0" xfId="0" applyFont="1" applyAlignment="1">
      <alignment horizontal="center"/>
    </xf>
    <xf numFmtId="10" fontId="8" fillId="0" borderId="9" xfId="0" applyNumberFormat="1" applyFont="1" applyBorder="1" applyAlignment="1">
      <alignment horizontal="center"/>
    </xf>
    <xf numFmtId="167" fontId="7" fillId="0" borderId="9" xfId="0" applyNumberFormat="1" applyFont="1" applyBorder="1" applyAlignment="1">
      <alignment horizontal="center"/>
    </xf>
    <xf numFmtId="10" fontId="9" fillId="0" borderId="0" xfId="0" applyNumberFormat="1" applyFont="1" applyAlignment="1">
      <alignment horizontal="left" vertical="center"/>
    </xf>
    <xf numFmtId="4" fontId="1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2" xfId="0" applyFont="1" applyBorder="1" applyAlignment="1">
      <alignment horizontal="center"/>
    </xf>
    <xf numFmtId="0" fontId="17" fillId="0" borderId="0" xfId="0" applyFont="1" applyAlignment="1">
      <alignment horizontal="left"/>
    </xf>
    <xf numFmtId="3" fontId="7" fillId="0" borderId="11" xfId="0" applyNumberFormat="1" applyFont="1" applyBorder="1"/>
    <xf numFmtId="10" fontId="5" fillId="0" borderId="9" xfId="0" applyNumberFormat="1" applyFont="1" applyBorder="1" applyAlignment="1">
      <alignment horizontal="center"/>
    </xf>
    <xf numFmtId="10" fontId="5" fillId="0" borderId="11" xfId="0" applyNumberFormat="1" applyFont="1" applyBorder="1" applyAlignment="1">
      <alignment horizontal="center"/>
    </xf>
    <xf numFmtId="175" fontId="5" fillId="0" borderId="1" xfId="0" applyNumberFormat="1" applyFont="1" applyBorder="1" applyAlignment="1">
      <alignment horizontal="center"/>
    </xf>
    <xf numFmtId="3" fontId="5" fillId="0" borderId="12" xfId="0" applyNumberFormat="1" applyFont="1" applyBorder="1" applyAlignment="1">
      <alignment horizontal="center"/>
    </xf>
    <xf numFmtId="4" fontId="5" fillId="0" borderId="13" xfId="0" applyNumberFormat="1" applyFont="1" applyBorder="1" applyAlignment="1">
      <alignment horizontal="center"/>
    </xf>
    <xf numFmtId="175" fontId="5" fillId="0" borderId="12" xfId="0" applyNumberFormat="1" applyFont="1" applyBorder="1" applyAlignment="1">
      <alignment horizontal="center"/>
    </xf>
    <xf numFmtId="175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175" fontId="5" fillId="0" borderId="2" xfId="0" applyNumberFormat="1" applyFont="1" applyBorder="1" applyAlignment="1">
      <alignment horizontal="center"/>
    </xf>
    <xf numFmtId="3" fontId="5" fillId="0" borderId="2" xfId="0" applyNumberFormat="1" applyFont="1" applyBorder="1" applyAlignment="1">
      <alignment horizontal="center"/>
    </xf>
    <xf numFmtId="4" fontId="5" fillId="0" borderId="20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7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4" fontId="2" fillId="12" borderId="13" xfId="0" applyNumberFormat="1" applyFont="1" applyFill="1" applyBorder="1" applyAlignment="1">
      <alignment horizontal="center"/>
    </xf>
    <xf numFmtId="4" fontId="3" fillId="4" borderId="2" xfId="0" applyNumberFormat="1" applyFont="1" applyFill="1" applyBorder="1" applyAlignment="1">
      <alignment horizontal="right"/>
    </xf>
    <xf numFmtId="0" fontId="14" fillId="0" borderId="2" xfId="0" applyFont="1" applyBorder="1" applyAlignment="1">
      <alignment vertical="center"/>
    </xf>
    <xf numFmtId="0" fontId="20" fillId="0" borderId="2" xfId="0" applyFont="1" applyBorder="1"/>
    <xf numFmtId="0" fontId="19" fillId="0" borderId="9" xfId="0" applyFont="1" applyBorder="1" applyAlignment="1">
      <alignment horizontal="right"/>
    </xf>
    <xf numFmtId="0" fontId="3" fillId="0" borderId="0" xfId="0" applyFont="1"/>
    <xf numFmtId="0" fontId="19" fillId="0" borderId="9" xfId="0" applyFont="1" applyBorder="1"/>
    <xf numFmtId="0" fontId="18" fillId="0" borderId="2" xfId="0" applyFont="1" applyBorder="1"/>
    <xf numFmtId="0" fontId="24" fillId="0" borderId="9" xfId="0" applyFont="1" applyBorder="1"/>
    <xf numFmtId="0" fontId="16" fillId="0" borderId="9" xfId="0" applyFont="1" applyBorder="1"/>
    <xf numFmtId="0" fontId="25" fillId="0" borderId="0" xfId="0" applyFont="1"/>
    <xf numFmtId="10" fontId="5" fillId="4" borderId="13" xfId="0" applyNumberFormat="1" applyFont="1" applyFill="1" applyBorder="1" applyAlignment="1">
      <alignment horizontal="center"/>
    </xf>
    <xf numFmtId="0" fontId="26" fillId="0" borderId="0" xfId="0" applyFont="1"/>
    <xf numFmtId="0" fontId="19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9" fillId="0" borderId="9" xfId="0" applyNumberFormat="1" applyFont="1" applyBorder="1" applyAlignment="1">
      <alignment horizontal="center"/>
    </xf>
    <xf numFmtId="10" fontId="19" fillId="0" borderId="9" xfId="0" applyNumberFormat="1" applyFont="1" applyBorder="1"/>
    <xf numFmtId="0" fontId="1" fillId="4" borderId="13" xfId="0" applyFont="1" applyFill="1" applyBorder="1" applyAlignment="1">
      <alignment horizontal="center"/>
    </xf>
    <xf numFmtId="0" fontId="27" fillId="0" borderId="4" xfId="0" applyFont="1" applyBorder="1"/>
    <xf numFmtId="0" fontId="19" fillId="0" borderId="0" xfId="0" applyFont="1"/>
    <xf numFmtId="0" fontId="19" fillId="0" borderId="3" xfId="0" applyFont="1" applyBorder="1"/>
    <xf numFmtId="0" fontId="19" fillId="0" borderId="4" xfId="0" applyFont="1" applyBorder="1"/>
    <xf numFmtId="10" fontId="19" fillId="0" borderId="3" xfId="0" applyNumberFormat="1" applyFont="1" applyBorder="1"/>
    <xf numFmtId="0" fontId="19" fillId="0" borderId="7" xfId="0" applyFont="1" applyBorder="1"/>
    <xf numFmtId="0" fontId="19" fillId="0" borderId="2" xfId="0" applyFont="1" applyBorder="1"/>
    <xf numFmtId="10" fontId="19" fillId="0" borderId="8" xfId="0" applyNumberFormat="1" applyFont="1" applyBorder="1"/>
    <xf numFmtId="0" fontId="5" fillId="14" borderId="9" xfId="0" applyFont="1" applyFill="1" applyBorder="1"/>
    <xf numFmtId="10" fontId="1" fillId="15" borderId="20" xfId="0" applyNumberFormat="1" applyFont="1" applyFill="1" applyBorder="1" applyAlignment="1">
      <alignment horizontal="center"/>
    </xf>
    <xf numFmtId="0" fontId="1" fillId="15" borderId="2" xfId="0" applyFont="1" applyFill="1" applyBorder="1" applyAlignment="1">
      <alignment horizontal="center"/>
    </xf>
    <xf numFmtId="10" fontId="1" fillId="4" borderId="35" xfId="0" applyNumberFormat="1" applyFont="1" applyFill="1" applyBorder="1" applyAlignment="1">
      <alignment horizontal="center"/>
    </xf>
    <xf numFmtId="0" fontId="1" fillId="15" borderId="36" xfId="0" applyFont="1" applyFill="1" applyBorder="1" applyAlignment="1">
      <alignment horizontal="center"/>
    </xf>
    <xf numFmtId="0" fontId="1" fillId="15" borderId="37" xfId="0" applyFont="1" applyFill="1" applyBorder="1" applyAlignment="1">
      <alignment horizontal="center"/>
    </xf>
    <xf numFmtId="10" fontId="1" fillId="4" borderId="38" xfId="0" applyNumberFormat="1" applyFont="1" applyFill="1" applyBorder="1" applyAlignment="1">
      <alignment horizontal="center"/>
    </xf>
    <xf numFmtId="3" fontId="1" fillId="4" borderId="39" xfId="0" applyNumberFormat="1" applyFont="1" applyFill="1" applyBorder="1" applyAlignment="1">
      <alignment horizontal="center"/>
    </xf>
    <xf numFmtId="0" fontId="1" fillId="14" borderId="40" xfId="0" applyFont="1" applyFill="1" applyBorder="1" applyAlignment="1">
      <alignment horizontal="center"/>
    </xf>
    <xf numFmtId="0" fontId="5" fillId="0" borderId="12" xfId="0" applyFont="1" applyBorder="1"/>
    <xf numFmtId="178" fontId="1" fillId="4" borderId="13" xfId="0" applyNumberFormat="1" applyFont="1" applyFill="1" applyBorder="1" applyAlignment="1">
      <alignment horizontal="center"/>
    </xf>
    <xf numFmtId="178" fontId="1" fillId="4" borderId="20" xfId="0" applyNumberFormat="1" applyFont="1" applyFill="1" applyBorder="1" applyAlignment="1">
      <alignment horizontal="center"/>
    </xf>
    <xf numFmtId="10" fontId="2" fillId="14" borderId="9" xfId="0" applyNumberFormat="1" applyFont="1" applyFill="1" applyBorder="1" applyAlignment="1">
      <alignment horizontal="center"/>
    </xf>
    <xf numFmtId="178" fontId="1" fillId="16" borderId="9" xfId="0" applyNumberFormat="1" applyFont="1" applyFill="1" applyBorder="1" applyAlignment="1">
      <alignment horizontal="center"/>
    </xf>
    <xf numFmtId="0" fontId="2" fillId="0" borderId="9" xfId="0" applyFont="1" applyBorder="1"/>
    <xf numFmtId="10" fontId="4" fillId="14" borderId="9" xfId="0" applyNumberFormat="1" applyFont="1" applyFill="1" applyBorder="1" applyAlignment="1">
      <alignment horizontal="center"/>
    </xf>
    <xf numFmtId="3" fontId="1" fillId="16" borderId="9" xfId="0" applyNumberFormat="1" applyFont="1" applyFill="1" applyBorder="1" applyAlignment="1">
      <alignment horizontal="center"/>
    </xf>
    <xf numFmtId="10" fontId="1" fillId="16" borderId="9" xfId="0" applyNumberFormat="1" applyFont="1" applyFill="1" applyBorder="1" applyAlignment="1">
      <alignment horizontal="center"/>
    </xf>
    <xf numFmtId="38" fontId="2" fillId="12" borderId="13" xfId="0" applyNumberFormat="1" applyFont="1" applyFill="1" applyBorder="1" applyAlignment="1">
      <alignment horizontal="center"/>
    </xf>
    <xf numFmtId="38" fontId="1" fillId="4" borderId="20" xfId="0" applyNumberFormat="1" applyFont="1" applyFill="1" applyBorder="1" applyAlignment="1">
      <alignment horizontal="center"/>
    </xf>
    <xf numFmtId="10" fontId="2" fillId="13" borderId="41" xfId="0" applyNumberFormat="1" applyFont="1" applyFill="1" applyBorder="1" applyAlignment="1">
      <alignment horizontal="center"/>
    </xf>
    <xf numFmtId="3" fontId="1" fillId="15" borderId="26" xfId="0" applyNumberFormat="1" applyFont="1" applyFill="1" applyBorder="1" applyAlignment="1">
      <alignment horizontal="center"/>
    </xf>
    <xf numFmtId="3" fontId="1" fillId="4" borderId="42" xfId="0" applyNumberFormat="1" applyFont="1" applyFill="1" applyBorder="1" applyAlignment="1">
      <alignment horizontal="center"/>
    </xf>
    <xf numFmtId="3" fontId="1" fillId="15" borderId="15" xfId="0" applyNumberFormat="1" applyFont="1" applyFill="1" applyBorder="1" applyAlignment="1">
      <alignment horizontal="center"/>
    </xf>
    <xf numFmtId="0" fontId="7" fillId="0" borderId="9" xfId="0" applyFont="1" applyBorder="1" applyAlignment="1">
      <alignment horizontal="left"/>
    </xf>
    <xf numFmtId="0" fontId="15" fillId="0" borderId="2" xfId="0" applyFont="1" applyBorder="1" applyAlignment="1">
      <alignment horizontal="right"/>
    </xf>
    <xf numFmtId="0" fontId="1" fillId="17" borderId="9" xfId="0" applyFont="1" applyFill="1" applyBorder="1"/>
    <xf numFmtId="0" fontId="1" fillId="17" borderId="2" xfId="0" applyFont="1" applyFill="1" applyBorder="1"/>
    <xf numFmtId="171" fontId="1" fillId="0" borderId="9" xfId="0" applyNumberFormat="1" applyFont="1" applyBorder="1" applyAlignment="1">
      <alignment horizontal="center"/>
    </xf>
    <xf numFmtId="0" fontId="7" fillId="0" borderId="9" xfId="0" applyFont="1" applyBorder="1"/>
    <xf numFmtId="4" fontId="2" fillId="13" borderId="19" xfId="0" applyNumberFormat="1" applyFont="1" applyFill="1" applyBorder="1" applyAlignment="1">
      <alignment horizontal="center"/>
    </xf>
    <xf numFmtId="3" fontId="2" fillId="13" borderId="21" xfId="0" applyNumberFormat="1" applyFont="1" applyFill="1" applyBorder="1" applyAlignment="1">
      <alignment horizontal="center"/>
    </xf>
    <xf numFmtId="14" fontId="2" fillId="13" borderId="28" xfId="0" applyNumberFormat="1" applyFont="1" applyFill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8" fontId="4" fillId="13" borderId="21" xfId="0" applyNumberFormat="1" applyFont="1" applyFill="1" applyBorder="1" applyAlignment="1">
      <alignment horizontal="center"/>
    </xf>
    <xf numFmtId="171" fontId="1" fillId="0" borderId="29" xfId="0" applyNumberFormat="1" applyFont="1" applyBorder="1" applyAlignment="1">
      <alignment horizontal="center"/>
    </xf>
    <xf numFmtId="6" fontId="3" fillId="0" borderId="28" xfId="0" applyNumberFormat="1" applyFont="1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3" fontId="1" fillId="4" borderId="47" xfId="0" applyNumberFormat="1" applyFont="1" applyFill="1" applyBorder="1" applyAlignment="1">
      <alignment horizontal="left"/>
    </xf>
    <xf numFmtId="167" fontId="1" fillId="0" borderId="48" xfId="0" applyNumberFormat="1" applyFont="1" applyBorder="1" applyAlignment="1">
      <alignment horizontal="center"/>
    </xf>
    <xf numFmtId="4" fontId="5" fillId="0" borderId="21" xfId="0" applyNumberFormat="1" applyFont="1" applyBorder="1" applyAlignment="1">
      <alignment horizontal="center"/>
    </xf>
    <xf numFmtId="4" fontId="5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left"/>
    </xf>
    <xf numFmtId="166" fontId="1" fillId="0" borderId="27" xfId="0" applyNumberFormat="1" applyFont="1" applyBorder="1" applyAlignment="1">
      <alignment horizontal="center"/>
    </xf>
    <xf numFmtId="0" fontId="13" fillId="0" borderId="9" xfId="0" applyFont="1" applyBorder="1"/>
    <xf numFmtId="0" fontId="5" fillId="0" borderId="2" xfId="0" applyFont="1" applyBorder="1" applyAlignment="1">
      <alignment horizontal="center"/>
    </xf>
    <xf numFmtId="166" fontId="8" fillId="0" borderId="27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0" borderId="48" xfId="0" applyNumberFormat="1" applyFont="1" applyBorder="1" applyAlignment="1">
      <alignment horizontal="center"/>
    </xf>
    <xf numFmtId="3" fontId="5" fillId="0" borderId="21" xfId="0" applyNumberFormat="1" applyFont="1" applyBorder="1" applyAlignment="1">
      <alignment horizontal="center"/>
    </xf>
    <xf numFmtId="0" fontId="5" fillId="0" borderId="51" xfId="0" applyFont="1" applyBorder="1" applyAlignment="1">
      <alignment horizontal="right"/>
    </xf>
    <xf numFmtId="10" fontId="5" fillId="0" borderId="51" xfId="0" applyNumberFormat="1" applyFont="1" applyBorder="1" applyAlignment="1">
      <alignment horizontal="center"/>
    </xf>
    <xf numFmtId="4" fontId="5" fillId="0" borderId="51" xfId="0" applyNumberFormat="1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166" fontId="8" fillId="0" borderId="9" xfId="0" applyNumberFormat="1" applyFont="1" applyBorder="1" applyAlignment="1">
      <alignment horizontal="center"/>
    </xf>
    <xf numFmtId="10" fontId="12" fillId="0" borderId="9" xfId="0" applyNumberFormat="1" applyFont="1" applyBorder="1" applyAlignment="1">
      <alignment horizontal="center"/>
    </xf>
    <xf numFmtId="179" fontId="11" fillId="0" borderId="9" xfId="0" applyNumberFormat="1" applyFont="1" applyBorder="1" applyAlignment="1">
      <alignment horizontal="center"/>
    </xf>
    <xf numFmtId="173" fontId="11" fillId="13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5" fillId="0" borderId="2" xfId="0" applyFont="1" applyBorder="1"/>
    <xf numFmtId="49" fontId="2" fillId="13" borderId="9" xfId="0" applyNumberFormat="1" applyFont="1" applyFill="1" applyBorder="1" applyAlignment="1">
      <alignment horizontal="center"/>
    </xf>
    <xf numFmtId="0" fontId="7" fillId="12" borderId="9" xfId="0" applyFont="1" applyFill="1" applyBorder="1"/>
    <xf numFmtId="0" fontId="2" fillId="13" borderId="16" xfId="0" applyFont="1" applyFill="1" applyBorder="1" applyAlignment="1">
      <alignment horizontal="center"/>
    </xf>
    <xf numFmtId="0" fontId="7" fillId="12" borderId="16" xfId="0" applyFont="1" applyFill="1" applyBorder="1"/>
    <xf numFmtId="164" fontId="2" fillId="13" borderId="16" xfId="0" applyNumberFormat="1" applyFont="1" applyFill="1" applyBorder="1" applyAlignment="1">
      <alignment horizontal="center"/>
    </xf>
    <xf numFmtId="0" fontId="2" fillId="13" borderId="43" xfId="0" applyFont="1" applyFill="1" applyBorder="1" applyAlignment="1">
      <alignment horizontal="center"/>
    </xf>
    <xf numFmtId="0" fontId="2" fillId="13" borderId="44" xfId="0" applyFont="1" applyFill="1" applyBorder="1" applyAlignment="1">
      <alignment horizontal="center"/>
    </xf>
    <xf numFmtId="3" fontId="2" fillId="13" borderId="21" xfId="0" applyNumberFormat="1" applyFont="1" applyFill="1" applyBorder="1" applyAlignment="1">
      <alignment horizontal="center"/>
    </xf>
    <xf numFmtId="3" fontId="2" fillId="13" borderId="22" xfId="0" applyNumberFormat="1" applyFont="1" applyFill="1" applyBorder="1" applyAlignment="1">
      <alignment horizontal="center"/>
    </xf>
    <xf numFmtId="10" fontId="12" fillId="4" borderId="45" xfId="0" applyNumberFormat="1" applyFont="1" applyFill="1" applyBorder="1" applyAlignment="1">
      <alignment horizontal="center"/>
    </xf>
    <xf numFmtId="10" fontId="12" fillId="4" borderId="46" xfId="0" applyNumberFormat="1" applyFont="1" applyFill="1" applyBorder="1" applyAlignment="1">
      <alignment horizontal="center"/>
    </xf>
    <xf numFmtId="10" fontId="12" fillId="4" borderId="29" xfId="0" applyNumberFormat="1" applyFont="1" applyFill="1" applyBorder="1" applyAlignment="1">
      <alignment horizontal="center"/>
    </xf>
    <xf numFmtId="10" fontId="12" fillId="4" borderId="30" xfId="0" applyNumberFormat="1" applyFont="1" applyFill="1" applyBorder="1" applyAlignment="1">
      <alignment horizontal="center"/>
    </xf>
    <xf numFmtId="164" fontId="2" fillId="13" borderId="20" xfId="0" applyNumberFormat="1" applyFont="1" applyFill="1" applyBorder="1" applyAlignment="1">
      <alignment horizontal="center"/>
    </xf>
    <xf numFmtId="0" fontId="7" fillId="12" borderId="20" xfId="0" applyFont="1" applyFill="1" applyBorder="1"/>
    <xf numFmtId="0" fontId="7" fillId="0" borderId="2" xfId="0" applyFont="1" applyBorder="1"/>
    <xf numFmtId="2" fontId="1" fillId="0" borderId="17" xfId="0" applyNumberFormat="1" applyFont="1" applyBorder="1" applyAlignment="1">
      <alignment horizontal="center"/>
    </xf>
    <xf numFmtId="0" fontId="7" fillId="0" borderId="17" xfId="0" applyFont="1" applyBorder="1"/>
    <xf numFmtId="165" fontId="5" fillId="0" borderId="29" xfId="0" applyNumberFormat="1" applyFont="1" applyBorder="1" applyAlignment="1">
      <alignment horizontal="center"/>
    </xf>
    <xf numFmtId="165" fontId="5" fillId="0" borderId="30" xfId="0" applyNumberFormat="1" applyFont="1" applyBorder="1" applyAlignment="1">
      <alignment horizontal="center"/>
    </xf>
    <xf numFmtId="167" fontId="1" fillId="0" borderId="21" xfId="0" applyNumberFormat="1" applyFont="1" applyBorder="1" applyAlignment="1">
      <alignment horizontal="center"/>
    </xf>
    <xf numFmtId="167" fontId="1" fillId="0" borderId="22" xfId="0" applyNumberFormat="1" applyFont="1" applyBorder="1" applyAlignment="1">
      <alignment horizontal="center"/>
    </xf>
    <xf numFmtId="171" fontId="1" fillId="0" borderId="20" xfId="0" applyNumberFormat="1" applyFont="1" applyBorder="1" applyAlignment="1">
      <alignment horizontal="center"/>
    </xf>
    <xf numFmtId="0" fontId="5" fillId="0" borderId="20" xfId="0" applyFont="1" applyBorder="1"/>
    <xf numFmtId="0" fontId="13" fillId="13" borderId="14" xfId="0" applyFont="1" applyFill="1" applyBorder="1" applyAlignment="1">
      <alignment horizontal="center" vertical="center"/>
    </xf>
    <xf numFmtId="0" fontId="13" fillId="13" borderId="9" xfId="0" applyFont="1" applyFill="1" applyBorder="1" applyAlignment="1">
      <alignment horizontal="center" vertical="center"/>
    </xf>
    <xf numFmtId="0" fontId="13" fillId="13" borderId="15" xfId="0" applyFont="1" applyFill="1" applyBorder="1" applyAlignment="1">
      <alignment horizontal="center" vertical="center"/>
    </xf>
    <xf numFmtId="4" fontId="11" fillId="13" borderId="43" xfId="0" applyNumberFormat="1" applyFont="1" applyFill="1" applyBorder="1" applyAlignment="1">
      <alignment horizontal="center"/>
    </xf>
    <xf numFmtId="4" fontId="11" fillId="13" borderId="44" xfId="0" applyNumberFormat="1" applyFont="1" applyFill="1" applyBorder="1" applyAlignment="1">
      <alignment horizontal="center"/>
    </xf>
    <xf numFmtId="0" fontId="2" fillId="13" borderId="13" xfId="0" applyFont="1" applyFill="1" applyBorder="1" applyAlignment="1">
      <alignment horizontal="left" vertical="center" wrapText="1"/>
    </xf>
    <xf numFmtId="0" fontId="7" fillId="12" borderId="13" xfId="0" applyFont="1" applyFill="1" applyBorder="1"/>
    <xf numFmtId="0" fontId="2" fillId="13" borderId="20" xfId="0" applyFont="1" applyFill="1" applyBorder="1" applyAlignment="1">
      <alignment horizontal="left" vertical="center" wrapText="1"/>
    </xf>
    <xf numFmtId="3" fontId="2" fillId="13" borderId="13" xfId="0" applyNumberFormat="1" applyFont="1" applyFill="1" applyBorder="1" applyAlignment="1">
      <alignment horizontal="center"/>
    </xf>
    <xf numFmtId="8" fontId="4" fillId="13" borderId="13" xfId="0" applyNumberFormat="1" applyFont="1" applyFill="1" applyBorder="1" applyAlignment="1">
      <alignment horizontal="center"/>
    </xf>
    <xf numFmtId="14" fontId="2" fillId="13" borderId="17" xfId="0" applyNumberFormat="1" applyFont="1" applyFill="1" applyBorder="1" applyAlignment="1">
      <alignment horizontal="center"/>
    </xf>
    <xf numFmtId="14" fontId="7" fillId="12" borderId="17" xfId="0" applyNumberFormat="1" applyFont="1" applyFill="1" applyBorder="1"/>
    <xf numFmtId="169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0" fontId="1" fillId="17" borderId="9" xfId="0" applyFont="1" applyFill="1" applyBorder="1"/>
    <xf numFmtId="0" fontId="7" fillId="17" borderId="9" xfId="0" applyFont="1" applyFill="1" applyBorder="1"/>
    <xf numFmtId="0" fontId="1" fillId="17" borderId="2" xfId="0" applyFont="1" applyFill="1" applyBorder="1"/>
    <xf numFmtId="0" fontId="7" fillId="17" borderId="2" xfId="0" applyFont="1" applyFill="1" applyBorder="1"/>
    <xf numFmtId="6" fontId="3" fillId="0" borderId="17" xfId="0" applyNumberFormat="1" applyFont="1" applyBorder="1" applyAlignment="1">
      <alignment horizontal="center"/>
    </xf>
    <xf numFmtId="6" fontId="3" fillId="0" borderId="18" xfId="0" applyNumberFormat="1" applyFont="1" applyBorder="1" applyAlignment="1">
      <alignment horizontal="center"/>
    </xf>
    <xf numFmtId="0" fontId="7" fillId="0" borderId="18" xfId="0" applyFont="1" applyBorder="1"/>
    <xf numFmtId="8" fontId="3" fillId="0" borderId="13" xfId="0" applyNumberFormat="1" applyFont="1" applyBorder="1" applyAlignment="1">
      <alignment horizontal="center"/>
    </xf>
    <xf numFmtId="179" fontId="11" fillId="13" borderId="13" xfId="0" applyNumberFormat="1" applyFont="1" applyFill="1" applyBorder="1" applyAlignment="1">
      <alignment horizontal="center"/>
    </xf>
    <xf numFmtId="10" fontId="15" fillId="0" borderId="49" xfId="0" applyNumberFormat="1" applyFont="1" applyBorder="1" applyAlignment="1">
      <alignment horizontal="center"/>
    </xf>
    <xf numFmtId="10" fontId="15" fillId="0" borderId="50" xfId="0" applyNumberFormat="1" applyFont="1" applyBorder="1" applyAlignment="1">
      <alignment horizontal="center"/>
    </xf>
    <xf numFmtId="10" fontId="1" fillId="0" borderId="49" xfId="0" applyNumberFormat="1" applyFont="1" applyBorder="1" applyAlignment="1">
      <alignment horizontal="center"/>
    </xf>
    <xf numFmtId="10" fontId="1" fillId="0" borderId="50" xfId="0" applyNumberFormat="1" applyFont="1" applyBorder="1" applyAlignment="1">
      <alignment horizontal="center"/>
    </xf>
    <xf numFmtId="10" fontId="1" fillId="19" borderId="20" xfId="0" applyNumberFormat="1" applyFont="1" applyFill="1" applyBorder="1" applyAlignment="1">
      <alignment horizontal="center"/>
    </xf>
    <xf numFmtId="177" fontId="1" fillId="0" borderId="13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0" fontId="1" fillId="17" borderId="13" xfId="0" applyFont="1" applyFill="1" applyBorder="1"/>
    <xf numFmtId="0" fontId="1" fillId="17" borderId="20" xfId="0" applyFont="1" applyFill="1" applyBorder="1"/>
    <xf numFmtId="168" fontId="1" fillId="0" borderId="13" xfId="0" applyNumberFormat="1" applyFont="1" applyBorder="1" applyAlignment="1">
      <alignment horizontal="center"/>
    </xf>
    <xf numFmtId="10" fontId="12" fillId="0" borderId="49" xfId="0" applyNumberFormat="1" applyFont="1" applyBorder="1" applyAlignment="1">
      <alignment horizontal="center"/>
    </xf>
    <xf numFmtId="10" fontId="12" fillId="0" borderId="50" xfId="0" applyNumberFormat="1" applyFont="1" applyBorder="1" applyAlignment="1">
      <alignment horizontal="center"/>
    </xf>
    <xf numFmtId="10" fontId="5" fillId="0" borderId="21" xfId="0" applyNumberFormat="1" applyFont="1" applyBorder="1" applyAlignment="1">
      <alignment horizontal="center"/>
    </xf>
    <xf numFmtId="10" fontId="5" fillId="0" borderId="22" xfId="0" applyNumberFormat="1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10" fontId="1" fillId="4" borderId="27" xfId="0" applyNumberFormat="1" applyFont="1" applyFill="1" applyBorder="1" applyAlignment="1">
      <alignment horizontal="center"/>
    </xf>
    <xf numFmtId="10" fontId="12" fillId="4" borderId="13" xfId="0" applyNumberFormat="1" applyFont="1" applyFill="1" applyBorder="1" applyAlignment="1">
      <alignment horizontal="center"/>
    </xf>
    <xf numFmtId="0" fontId="2" fillId="13" borderId="13" xfId="0" applyFont="1" applyFill="1" applyBorder="1" applyAlignment="1">
      <alignment horizontal="center"/>
    </xf>
    <xf numFmtId="173" fontId="1" fillId="3" borderId="1" xfId="0" applyNumberFormat="1" applyFont="1" applyFill="1" applyBorder="1" applyAlignment="1">
      <alignment horizontal="center"/>
    </xf>
    <xf numFmtId="0" fontId="7" fillId="0" borderId="1" xfId="0" applyFont="1" applyBorder="1"/>
    <xf numFmtId="2" fontId="19" fillId="2" borderId="9" xfId="0" applyNumberFormat="1" applyFont="1" applyFill="1" applyBorder="1" applyAlignment="1">
      <alignment horizontal="center"/>
    </xf>
    <xf numFmtId="0" fontId="7" fillId="0" borderId="9" xfId="0" applyFont="1" applyBorder="1"/>
    <xf numFmtId="10" fontId="2" fillId="13" borderId="13" xfId="0" applyNumberFormat="1" applyFont="1" applyFill="1" applyBorder="1" applyAlignment="1">
      <alignment horizontal="center"/>
    </xf>
    <xf numFmtId="10" fontId="7" fillId="12" borderId="13" xfId="0" applyNumberFormat="1" applyFont="1" applyFill="1" applyBorder="1"/>
    <xf numFmtId="0" fontId="7" fillId="0" borderId="13" xfId="0" applyFont="1" applyBorder="1"/>
    <xf numFmtId="0" fontId="14" fillId="0" borderId="2" xfId="0" applyFont="1" applyBorder="1"/>
    <xf numFmtId="0" fontId="5" fillId="0" borderId="9" xfId="0" applyFont="1" applyBorder="1"/>
    <xf numFmtId="3" fontId="2" fillId="12" borderId="13" xfId="0" applyNumberFormat="1" applyFont="1" applyFill="1" applyBorder="1" applyAlignment="1">
      <alignment horizontal="center"/>
    </xf>
    <xf numFmtId="3" fontId="1" fillId="18" borderId="13" xfId="0" applyNumberFormat="1" applyFont="1" applyFill="1" applyBorder="1" applyAlignment="1">
      <alignment horizontal="center"/>
    </xf>
    <xf numFmtId="3" fontId="1" fillId="18" borderId="21" xfId="0" applyNumberFormat="1" applyFont="1" applyFill="1" applyBorder="1" applyAlignment="1">
      <alignment horizontal="center"/>
    </xf>
    <xf numFmtId="0" fontId="15" fillId="0" borderId="9" xfId="0" applyFont="1" applyBorder="1" applyAlignment="1">
      <alignment horizontal="right"/>
    </xf>
    <xf numFmtId="0" fontId="3" fillId="0" borderId="9" xfId="0" applyFont="1" applyBorder="1" applyAlignment="1">
      <alignment horizontal="center"/>
    </xf>
  </cellXfs>
  <cellStyles count="1">
    <cellStyle name="Normal" xfId="0" builtinId="0"/>
  </cellStyles>
  <dxfs count="12"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solid">
          <fgColor theme="0"/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DD7E6B"/>
          <bgColor rgb="FFDD7E6B"/>
        </patternFill>
      </fill>
    </dxf>
    <dxf>
      <fill>
        <patternFill patternType="solid">
          <fgColor rgb="FFDD7E6B"/>
          <bgColor rgb="FFDD7E6B"/>
        </patternFill>
      </fill>
    </dxf>
  </dxfs>
  <tableStyles count="0" defaultTableStyle="TableStyleMedium2" defaultPivotStyle="PivotStyleLight16"/>
  <colors>
    <mruColors>
      <color rgb="FFB6D7A8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996"/>
  <sheetViews>
    <sheetView showGridLines="0" tabSelected="1" zoomScale="103" workbookViewId="0">
      <selection activeCell="G20" sqref="G20"/>
    </sheetView>
  </sheetViews>
  <sheetFormatPr defaultColWidth="12.453125" defaultRowHeight="15" customHeight="1" x14ac:dyDescent="0.3"/>
  <cols>
    <col min="1" max="1" width="2.453125" style="3" customWidth="1"/>
    <col min="2" max="2" width="28.36328125" style="3" customWidth="1"/>
    <col min="3" max="6" width="14.81640625" style="3" customWidth="1"/>
    <col min="7" max="7" width="28.81640625" style="3" customWidth="1"/>
    <col min="8" max="9" width="14.81640625" style="3" customWidth="1"/>
    <col min="10" max="16384" width="12.453125" style="3"/>
  </cols>
  <sheetData>
    <row r="1" spans="1:11" ht="15" customHeight="1" x14ac:dyDescent="0.3">
      <c r="B1" s="6"/>
      <c r="C1" s="6"/>
      <c r="D1" s="6"/>
      <c r="E1" s="6"/>
      <c r="F1" s="6"/>
      <c r="G1" s="6"/>
      <c r="H1" s="6"/>
      <c r="I1" s="6"/>
    </row>
    <row r="2" spans="1:11" ht="15.75" customHeight="1" x14ac:dyDescent="0.3">
      <c r="A2" s="11"/>
      <c r="B2" s="12" t="s">
        <v>0</v>
      </c>
      <c r="C2" s="284" t="str">
        <f>C3&amp;" : "&amp;C4</f>
        <v>0806.HK : VALUE PARTNERS</v>
      </c>
      <c r="D2" s="285"/>
      <c r="E2" s="13"/>
      <c r="F2" s="13"/>
      <c r="G2" s="13"/>
      <c r="H2" s="13"/>
      <c r="I2" s="13"/>
      <c r="J2" s="6"/>
    </row>
    <row r="3" spans="1:11" ht="15.75" customHeight="1" x14ac:dyDescent="0.3">
      <c r="B3" s="17" t="s">
        <v>1</v>
      </c>
      <c r="C3" s="286" t="s">
        <v>396</v>
      </c>
      <c r="D3" s="287"/>
      <c r="E3" s="16"/>
      <c r="G3" s="7" t="s">
        <v>2</v>
      </c>
      <c r="H3" s="291" t="s">
        <v>397</v>
      </c>
      <c r="I3" s="292"/>
    </row>
    <row r="4" spans="1:11" ht="15.75" customHeight="1" x14ac:dyDescent="0.3">
      <c r="B4" s="5" t="s">
        <v>3</v>
      </c>
      <c r="C4" s="288" t="s">
        <v>395</v>
      </c>
      <c r="D4" s="289"/>
      <c r="E4" s="6"/>
      <c r="G4" s="5" t="s">
        <v>4</v>
      </c>
      <c r="H4" s="47">
        <v>2.82</v>
      </c>
      <c r="I4" s="48" t="s">
        <v>5</v>
      </c>
    </row>
    <row r="5" spans="1:11" ht="15.75" customHeight="1" x14ac:dyDescent="0.3">
      <c r="B5" s="5" t="s">
        <v>6</v>
      </c>
      <c r="C5" s="290">
        <v>44771</v>
      </c>
      <c r="D5" s="289"/>
      <c r="E5" s="268" t="str">
        <f ca="1">IF(C5+30&gt;=TODAY(),"Patience Premium","")</f>
        <v/>
      </c>
      <c r="G5" s="5" t="s">
        <v>7</v>
      </c>
      <c r="H5" s="293">
        <v>1837549831</v>
      </c>
      <c r="I5" s="294"/>
    </row>
    <row r="6" spans="1:11" ht="15.75" customHeight="1" x14ac:dyDescent="0.3">
      <c r="B6" s="13" t="s">
        <v>8</v>
      </c>
      <c r="C6" s="299">
        <v>44925</v>
      </c>
      <c r="D6" s="300"/>
      <c r="E6" s="268"/>
      <c r="G6" s="8" t="s">
        <v>9</v>
      </c>
      <c r="H6" s="304">
        <f>H4*H5/1000000</f>
        <v>5181.8905234200001</v>
      </c>
      <c r="I6" s="305"/>
    </row>
    <row r="7" spans="1:11" ht="15.75" customHeight="1" x14ac:dyDescent="0.3">
      <c r="B7" s="6"/>
      <c r="C7" s="6"/>
      <c r="D7" s="6"/>
      <c r="G7" s="6"/>
    </row>
    <row r="8" spans="1:11" ht="15.75" customHeight="1" x14ac:dyDescent="0.3">
      <c r="B8" s="24" t="s">
        <v>10</v>
      </c>
      <c r="C8" s="205"/>
      <c r="D8" s="13"/>
      <c r="E8" s="6"/>
      <c r="F8" s="6"/>
      <c r="G8" s="24" t="s">
        <v>11</v>
      </c>
      <c r="H8" s="6"/>
      <c r="I8" s="6"/>
    </row>
    <row r="9" spans="1:11" ht="15.75" customHeight="1" x14ac:dyDescent="0.3">
      <c r="B9" s="20" t="s">
        <v>12</v>
      </c>
      <c r="C9" s="266"/>
      <c r="D9" s="49">
        <v>3.5400000000000001E-2</v>
      </c>
      <c r="E9" s="5"/>
      <c r="G9" s="5" t="s">
        <v>13</v>
      </c>
      <c r="H9" s="267">
        <f>IF(Data!F3&lt;=0,"NNI",H4/((Data!F3*H13)/(H5/Data!C4)))</f>
        <v>11.318792877048052</v>
      </c>
      <c r="I9" s="72">
        <f>IF(H9="NNI","NNI",1/H9)</f>
        <v>8.8348643787605083E-2</v>
      </c>
    </row>
    <row r="10" spans="1:11" ht="15.75" customHeight="1" x14ac:dyDescent="0.3">
      <c r="B10" s="20" t="s">
        <v>14</v>
      </c>
      <c r="C10" s="248"/>
      <c r="D10" s="15">
        <v>0.03</v>
      </c>
      <c r="E10" s="5"/>
      <c r="G10" s="5" t="str">
        <f>'FCF Model'!C3&amp;"yrs PEG Ratio:"</f>
        <v>4yrs PEG Ratio:</v>
      </c>
      <c r="H10" s="306" t="str">
        <f>IF('FCF Model'!C4&lt;=0,"Negative PEG",IFERROR(H9/('FCF Model'!C4*100),"NNI"))</f>
        <v>Negative PEG</v>
      </c>
      <c r="I10" s="307"/>
    </row>
    <row r="11" spans="1:11" ht="15.75" customHeight="1" x14ac:dyDescent="0.3">
      <c r="B11" s="18" t="s">
        <v>15</v>
      </c>
      <c r="C11" s="31"/>
      <c r="D11" s="15">
        <f>IF(D9+D10&lt;6%,6%,D9+D10)</f>
        <v>6.54E-2</v>
      </c>
      <c r="E11" s="14"/>
      <c r="G11" s="5" t="s">
        <v>16</v>
      </c>
      <c r="H11" s="42">
        <f>H4/(Data!C25*H13*Data!C4/Common_Shares)</f>
        <v>1.1145732179346404</v>
      </c>
      <c r="I11" s="43">
        <f>IF('Asset Model'!D53/'FCF Model'!C16&lt;0,"Negative EV",'Asset Model'!D53/'FCF Model'!C16)</f>
        <v>6.2200249238904517</v>
      </c>
    </row>
    <row r="12" spans="1:11" ht="15.75" customHeight="1" x14ac:dyDescent="0.3">
      <c r="B12" s="20" t="s">
        <v>17</v>
      </c>
      <c r="C12" s="248"/>
      <c r="D12" s="15">
        <v>4.4999999999999998E-2</v>
      </c>
      <c r="E12" s="5"/>
      <c r="G12" s="7" t="s">
        <v>18</v>
      </c>
      <c r="H12" s="291" t="s">
        <v>5</v>
      </c>
      <c r="I12" s="292"/>
    </row>
    <row r="13" spans="1:11" ht="15.75" customHeight="1" x14ac:dyDescent="0.3">
      <c r="B13" s="21" t="s">
        <v>19</v>
      </c>
      <c r="C13" s="249"/>
      <c r="D13" s="23">
        <f>IF(D9+D12&lt;8%,8%,D9+D12)</f>
        <v>8.0399999999999999E-2</v>
      </c>
      <c r="E13" s="14"/>
      <c r="G13" s="8" t="s">
        <v>20</v>
      </c>
      <c r="H13" s="254">
        <v>1</v>
      </c>
      <c r="I13" s="41" t="str">
        <f>IF(H12=Dashboard!I4,I4,H12&amp;"/"&amp;Dashboard!I4)</f>
        <v>HKD</v>
      </c>
    </row>
    <row r="14" spans="1:11" ht="15.75" customHeight="1" x14ac:dyDescent="0.3"/>
    <row r="15" spans="1:11" ht="15.75" customHeight="1" x14ac:dyDescent="0.3">
      <c r="A15" s="11"/>
      <c r="B15" s="22" t="s">
        <v>21</v>
      </c>
      <c r="C15" s="284" t="s">
        <v>22</v>
      </c>
      <c r="D15" s="301"/>
      <c r="E15" s="284" t="s">
        <v>23</v>
      </c>
      <c r="F15" s="301"/>
      <c r="G15" s="13"/>
      <c r="H15" s="13"/>
      <c r="I15" s="8"/>
    </row>
    <row r="16" spans="1:11" ht="15.75" customHeight="1" x14ac:dyDescent="0.3">
      <c r="A16" s="6"/>
      <c r="B16" s="20" t="s">
        <v>24</v>
      </c>
      <c r="C16" s="302">
        <f>'FCF Model'!C63</f>
        <v>2.5587085594071994</v>
      </c>
      <c r="D16" s="303"/>
      <c r="E16" s="302">
        <f>'Asset Model'!D6</f>
        <v>1.9495043288434226</v>
      </c>
      <c r="F16" s="303"/>
      <c r="G16" s="36" t="s">
        <v>25</v>
      </c>
      <c r="H16" s="295">
        <f>C22/E16-1</f>
        <v>8.7455907962885604E-2</v>
      </c>
      <c r="I16" s="296"/>
      <c r="J16" s="6"/>
      <c r="K16" s="6"/>
    </row>
    <row r="17" spans="1:12" ht="15.75" customHeight="1" x14ac:dyDescent="0.3">
      <c r="B17" s="21" t="s">
        <v>26</v>
      </c>
      <c r="C17" s="33">
        <f>'FCF Model'!E63</f>
        <v>10.270032700943295</v>
      </c>
      <c r="D17" s="33">
        <f>'FCF Model'!F63</f>
        <v>1.0113007208565215</v>
      </c>
      <c r="E17" s="33">
        <f>'Asset Model'!H5</f>
        <v>7.8248353585415877</v>
      </c>
      <c r="F17" s="33">
        <f>'Asset Model'!H6</f>
        <v>0.77051961460160467</v>
      </c>
      <c r="G17" s="10" t="s">
        <v>27</v>
      </c>
      <c r="H17" s="297">
        <f ca="1">AVERAGE((1-'Qualitative Analysis'!E29),(1-'Qualitative Analysis'!E63),H16)+IF(C5+30&gt;=TODAY(),20%,0)</f>
        <v>0.41804085820985071</v>
      </c>
      <c r="I17" s="298"/>
      <c r="J17" s="6"/>
      <c r="L17" s="6"/>
    </row>
    <row r="18" spans="1:12" ht="15.75" customHeight="1" x14ac:dyDescent="0.3">
      <c r="B18" s="18"/>
      <c r="C18" s="280"/>
      <c r="D18" s="280"/>
      <c r="E18" s="280"/>
      <c r="F18" s="280"/>
      <c r="G18" s="36"/>
      <c r="H18" s="281"/>
      <c r="I18" s="281"/>
      <c r="J18" s="6"/>
      <c r="L18" s="6"/>
    </row>
    <row r="19" spans="1:12" ht="15.75" customHeight="1" x14ac:dyDescent="0.3">
      <c r="A19" s="6"/>
      <c r="B19" s="24" t="s">
        <v>28</v>
      </c>
      <c r="C19" s="332">
        <v>0.14560000000000001</v>
      </c>
      <c r="D19" s="332"/>
      <c r="E19" s="6"/>
      <c r="F19" s="6"/>
      <c r="G19" s="24" t="s">
        <v>405</v>
      </c>
      <c r="H19" s="283">
        <v>3</v>
      </c>
      <c r="I19" s="283"/>
      <c r="J19" s="6"/>
      <c r="K19" s="6"/>
    </row>
    <row r="20" spans="1:12" ht="15.75" customHeight="1" x14ac:dyDescent="0.3">
      <c r="A20" s="6"/>
      <c r="B20" s="205"/>
      <c r="C20" s="282"/>
      <c r="D20" s="282"/>
      <c r="E20" s="6"/>
      <c r="F20" s="6"/>
      <c r="H20" s="6"/>
      <c r="I20" s="6"/>
      <c r="J20" s="6"/>
      <c r="K20" s="6"/>
    </row>
    <row r="21" spans="1:12" ht="15.75" customHeight="1" x14ac:dyDescent="0.3">
      <c r="A21" s="6"/>
      <c r="B21" s="24" t="s">
        <v>29</v>
      </c>
      <c r="C21" s="253"/>
      <c r="D21" s="6"/>
      <c r="E21" s="6"/>
      <c r="F21" s="6"/>
      <c r="G21" s="24" t="s">
        <v>30</v>
      </c>
      <c r="H21" s="6"/>
      <c r="I21" s="6"/>
      <c r="J21" s="6"/>
      <c r="K21" s="6"/>
    </row>
    <row r="22" spans="1:12" ht="15.75" customHeight="1" x14ac:dyDescent="0.3">
      <c r="B22" s="26" t="s">
        <v>31</v>
      </c>
      <c r="C22" s="313">
        <v>2.12</v>
      </c>
      <c r="D22" s="314"/>
      <c r="E22" s="278" t="s">
        <v>32</v>
      </c>
      <c r="F22" s="270">
        <f>IF(Data!F3&lt;=0,"NNI",C22/((Data!F3*H13)/(H5/Data!C4)))</f>
        <v>8.5091634394829345</v>
      </c>
      <c r="G22" s="44" t="s">
        <v>33</v>
      </c>
      <c r="H22" s="348">
        <f>'FCF Model'!G63</f>
        <v>4.860666710885031E-3</v>
      </c>
      <c r="I22" s="348"/>
      <c r="J22" s="6"/>
      <c r="L22" s="6"/>
    </row>
    <row r="23" spans="1:12" ht="15.75" customHeight="1" x14ac:dyDescent="0.3">
      <c r="B23" s="36" t="s">
        <v>34</v>
      </c>
      <c r="C23" s="345">
        <f>'FCF Model'!K60</f>
        <v>0.25402341861980759</v>
      </c>
      <c r="D23" s="346"/>
      <c r="E23" s="279" t="s">
        <v>35</v>
      </c>
      <c r="F23" s="33">
        <f>C22/(Data!C25*H13*Data!C4/Common_Shares)</f>
        <v>0.83790610709980073</v>
      </c>
      <c r="G23" s="44" t="s">
        <v>36</v>
      </c>
      <c r="H23" s="349">
        <f ca="1">D10+D12*(1+H17)</f>
        <v>9.3811838619443283E-2</v>
      </c>
      <c r="I23" s="349"/>
      <c r="J23" s="6"/>
      <c r="L23" s="6"/>
    </row>
    <row r="24" spans="1:12" ht="15.75" customHeight="1" x14ac:dyDescent="0.3">
      <c r="B24" s="10" t="s">
        <v>37</v>
      </c>
      <c r="C24" s="343">
        <f ca="1">C23-H23</f>
        <v>0.16021158000036431</v>
      </c>
      <c r="D24" s="344"/>
      <c r="E24" s="6"/>
      <c r="F24" s="6"/>
      <c r="G24" s="269" t="s">
        <v>38</v>
      </c>
      <c r="H24" s="337">
        <f ca="1">H22-H23</f>
        <v>-8.8951171908558252E-2</v>
      </c>
      <c r="I24" s="337"/>
      <c r="J24" s="6"/>
      <c r="L24" s="6"/>
    </row>
    <row r="25" spans="1:12" ht="15.75" customHeight="1" x14ac:dyDescent="0.3">
      <c r="B25" s="10" t="s">
        <v>39</v>
      </c>
      <c r="C25" s="333">
        <f>C19/C22</f>
        <v>6.8679245283018872E-2</v>
      </c>
      <c r="D25" s="334"/>
      <c r="E25" s="6"/>
      <c r="F25" s="6"/>
      <c r="G25" s="269" t="s">
        <v>40</v>
      </c>
      <c r="H25" s="335">
        <f>C19/H4</f>
        <v>5.1631205673758868E-2</v>
      </c>
      <c r="I25" s="336"/>
      <c r="J25" s="6"/>
      <c r="L25" s="6"/>
    </row>
    <row r="26" spans="1:12" ht="15.75" customHeight="1" x14ac:dyDescent="0.3">
      <c r="E26" s="6"/>
      <c r="F26" s="6"/>
      <c r="G26" s="44"/>
      <c r="H26" s="177"/>
      <c r="I26" s="177"/>
      <c r="J26" s="6"/>
      <c r="L26" s="6"/>
    </row>
    <row r="27" spans="1:12" ht="15.75" customHeight="1" x14ac:dyDescent="0.3">
      <c r="A27" s="4"/>
      <c r="B27" s="22" t="s">
        <v>41</v>
      </c>
      <c r="C27" s="8"/>
      <c r="D27" s="13"/>
      <c r="E27" s="13"/>
      <c r="F27" s="13"/>
      <c r="G27" s="13"/>
      <c r="H27" s="13"/>
      <c r="I27" s="13"/>
    </row>
    <row r="28" spans="1:12" ht="15.75" customHeight="1" x14ac:dyDescent="0.3">
      <c r="A28" s="6"/>
      <c r="B28" s="27" t="s">
        <v>42</v>
      </c>
      <c r="C28" s="310" t="s">
        <v>398</v>
      </c>
      <c r="D28" s="311"/>
      <c r="E28" s="311"/>
      <c r="F28" s="311"/>
      <c r="G28" s="311"/>
      <c r="H28" s="311"/>
      <c r="I28" s="312"/>
      <c r="J28" s="6"/>
    </row>
    <row r="29" spans="1:12" ht="52.5" customHeight="1" x14ac:dyDescent="0.3">
      <c r="A29" s="6"/>
      <c r="B29" s="27" t="s">
        <v>43</v>
      </c>
      <c r="C29" s="315" t="s">
        <v>399</v>
      </c>
      <c r="D29" s="316"/>
      <c r="E29" s="316"/>
      <c r="F29" s="316"/>
      <c r="G29" s="315" t="s">
        <v>400</v>
      </c>
      <c r="H29" s="316"/>
      <c r="I29" s="316"/>
      <c r="J29" s="6"/>
    </row>
    <row r="30" spans="1:12" ht="52.5" customHeight="1" x14ac:dyDescent="0.3">
      <c r="A30" s="6"/>
      <c r="B30" s="28" t="s">
        <v>44</v>
      </c>
      <c r="C30" s="317" t="s">
        <v>401</v>
      </c>
      <c r="D30" s="300"/>
      <c r="E30" s="300"/>
      <c r="F30" s="300"/>
      <c r="G30" s="317" t="s">
        <v>402</v>
      </c>
      <c r="H30" s="300"/>
      <c r="I30" s="300"/>
      <c r="J30" s="6"/>
    </row>
    <row r="31" spans="1:12" ht="15.75" customHeight="1" x14ac:dyDescent="0.3">
      <c r="B31" s="6"/>
      <c r="C31" s="6"/>
      <c r="D31" s="6"/>
      <c r="E31" s="6"/>
      <c r="F31" s="9"/>
      <c r="G31" s="6"/>
      <c r="H31" s="6"/>
      <c r="I31" s="6"/>
    </row>
    <row r="32" spans="1:12" ht="15.75" customHeight="1" x14ac:dyDescent="0.3">
      <c r="A32" s="4"/>
      <c r="B32" s="22" t="s">
        <v>45</v>
      </c>
      <c r="C32" s="25" t="s">
        <v>46</v>
      </c>
      <c r="D32" s="50">
        <v>700000</v>
      </c>
      <c r="E32" s="13"/>
      <c r="F32" s="8"/>
      <c r="G32" s="13"/>
      <c r="H32" s="6"/>
      <c r="I32" s="6"/>
    </row>
    <row r="33" spans="2:10" ht="15.75" customHeight="1" x14ac:dyDescent="0.3">
      <c r="B33" s="26" t="s">
        <v>47</v>
      </c>
      <c r="C33" s="320">
        <v>44784</v>
      </c>
      <c r="D33" s="321"/>
      <c r="E33" s="320"/>
      <c r="F33" s="321"/>
      <c r="G33" s="256"/>
      <c r="H33" s="347" t="s">
        <v>48</v>
      </c>
      <c r="I33" s="347"/>
      <c r="J33" s="6"/>
    </row>
    <row r="34" spans="2:10" ht="15.75" customHeight="1" x14ac:dyDescent="0.3">
      <c r="B34" s="26" t="s">
        <v>49</v>
      </c>
      <c r="C34" s="342">
        <f>C38/D32</f>
        <v>7.2285714285714273E-2</v>
      </c>
      <c r="D34" s="323"/>
      <c r="E34" s="322">
        <f>E38/D32</f>
        <v>0</v>
      </c>
      <c r="F34" s="323"/>
      <c r="G34" s="257">
        <f>G38/D32</f>
        <v>0</v>
      </c>
      <c r="H34" s="338">
        <f>C34+E34+G34</f>
        <v>7.2285714285714273E-2</v>
      </c>
      <c r="I34" s="338"/>
      <c r="J34" s="6"/>
    </row>
    <row r="35" spans="2:10" ht="15.75" customHeight="1" x14ac:dyDescent="0.3">
      <c r="B35" s="26" t="s">
        <v>50</v>
      </c>
      <c r="C35" s="318">
        <v>22000</v>
      </c>
      <c r="D35" s="316"/>
      <c r="E35" s="318"/>
      <c r="F35" s="316"/>
      <c r="G35" s="255"/>
      <c r="H35" s="339">
        <f>C35+E35+G35</f>
        <v>22000</v>
      </c>
      <c r="I35" s="339"/>
      <c r="J35" s="6"/>
    </row>
    <row r="36" spans="2:10" ht="15.75" customHeight="1" x14ac:dyDescent="0.3">
      <c r="B36" s="26" t="s">
        <v>51</v>
      </c>
      <c r="C36" s="319">
        <v>2.2999999999999998</v>
      </c>
      <c r="D36" s="316"/>
      <c r="E36" s="319"/>
      <c r="F36" s="316"/>
      <c r="G36" s="258"/>
      <c r="H36" s="340"/>
      <c r="I36" s="340"/>
      <c r="J36" s="6"/>
    </row>
    <row r="37" spans="2:10" ht="15.75" customHeight="1" x14ac:dyDescent="0.3">
      <c r="B37" s="26" t="s">
        <v>52</v>
      </c>
      <c r="C37" s="308">
        <f>C36*$H$5/1000000</f>
        <v>4226.3646112999995</v>
      </c>
      <c r="D37" s="309"/>
      <c r="E37" s="308">
        <f>E36*$H$5/1000000</f>
        <v>0</v>
      </c>
      <c r="F37" s="309"/>
      <c r="G37" s="259">
        <f>G36*$H$5/1000000</f>
        <v>0</v>
      </c>
      <c r="H37" s="341"/>
      <c r="I37" s="341"/>
      <c r="J37" s="6"/>
    </row>
    <row r="38" spans="2:10" ht="15.75" customHeight="1" x14ac:dyDescent="0.3">
      <c r="B38" s="2" t="s">
        <v>53</v>
      </c>
      <c r="C38" s="328">
        <f>C35*C36</f>
        <v>50599.999999999993</v>
      </c>
      <c r="D38" s="303"/>
      <c r="E38" s="329">
        <f>E35*E36</f>
        <v>0</v>
      </c>
      <c r="F38" s="330"/>
      <c r="G38" s="260">
        <f>G35*G36</f>
        <v>0</v>
      </c>
      <c r="H38" s="328">
        <f>C38+E38+G38</f>
        <v>50599.999999999993</v>
      </c>
      <c r="I38" s="328"/>
      <c r="J38" s="6"/>
    </row>
    <row r="39" spans="2:10" ht="15.75" customHeight="1" x14ac:dyDescent="0.3">
      <c r="B39" s="1" t="s">
        <v>54</v>
      </c>
      <c r="C39" s="324"/>
      <c r="D39" s="325"/>
      <c r="E39" s="331">
        <f>IF(C38=0,"-",(C38+E38)/(C35+E35))</f>
        <v>2.2999999999999998</v>
      </c>
      <c r="F39" s="323"/>
      <c r="G39" s="250"/>
      <c r="H39" s="253"/>
      <c r="I39" s="35">
        <f>IF(H38=0,"",H38/H35)</f>
        <v>2.2999999999999998</v>
      </c>
      <c r="J39" s="6"/>
    </row>
    <row r="40" spans="2:10" ht="15.75" customHeight="1" x14ac:dyDescent="0.3">
      <c r="B40" s="1" t="s">
        <v>55</v>
      </c>
      <c r="C40" s="326"/>
      <c r="D40" s="327"/>
      <c r="E40" s="308">
        <f>IF(E39="-","-",E39*$H$5/1000000)</f>
        <v>4226.3646112999995</v>
      </c>
      <c r="F40" s="309"/>
      <c r="G40" s="251"/>
      <c r="H40" s="253"/>
      <c r="I40" s="252">
        <f>IF(I39="","",I39*$H$5/1000000)</f>
        <v>4226.3646112999995</v>
      </c>
      <c r="J40" s="6"/>
    </row>
    <row r="41" spans="2:10" ht="15.75" customHeight="1" x14ac:dyDescent="0.3">
      <c r="C41" s="6"/>
      <c r="D41" s="6"/>
      <c r="E41" s="6"/>
      <c r="F41" s="6"/>
      <c r="G41" s="6"/>
      <c r="H41" s="6"/>
      <c r="I41" s="6"/>
      <c r="J41" s="6"/>
    </row>
    <row r="42" spans="2:10" ht="15.75" customHeight="1" x14ac:dyDescent="0.3">
      <c r="H42" s="6"/>
      <c r="I42" s="6"/>
    </row>
    <row r="43" spans="2:10" ht="15.75" customHeight="1" x14ac:dyDescent="0.3"/>
    <row r="44" spans="2:10" ht="15.75" customHeight="1" x14ac:dyDescent="0.3"/>
    <row r="45" spans="2:10" ht="15.75" customHeight="1" x14ac:dyDescent="0.3"/>
    <row r="46" spans="2:10" ht="15.75" customHeight="1" x14ac:dyDescent="0.3"/>
    <row r="47" spans="2:10" ht="15.75" customHeight="1" x14ac:dyDescent="0.3"/>
    <row r="48" spans="2:10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mergeCells count="53">
    <mergeCell ref="H38:I38"/>
    <mergeCell ref="C19:D19"/>
    <mergeCell ref="C25:D25"/>
    <mergeCell ref="H25:I25"/>
    <mergeCell ref="H24:I24"/>
    <mergeCell ref="H34:I34"/>
    <mergeCell ref="H35:I35"/>
    <mergeCell ref="H36:I36"/>
    <mergeCell ref="H37:I37"/>
    <mergeCell ref="C34:D34"/>
    <mergeCell ref="C35:D35"/>
    <mergeCell ref="C24:D24"/>
    <mergeCell ref="C23:D23"/>
    <mergeCell ref="H33:I33"/>
    <mergeCell ref="H22:I22"/>
    <mergeCell ref="H23:I23"/>
    <mergeCell ref="C39:D39"/>
    <mergeCell ref="C40:D40"/>
    <mergeCell ref="E40:F40"/>
    <mergeCell ref="C38:D38"/>
    <mergeCell ref="E38:F38"/>
    <mergeCell ref="E39:F39"/>
    <mergeCell ref="E37:F37"/>
    <mergeCell ref="C28:I28"/>
    <mergeCell ref="C15:D15"/>
    <mergeCell ref="C16:D16"/>
    <mergeCell ref="C22:D22"/>
    <mergeCell ref="C29:F29"/>
    <mergeCell ref="G29:I29"/>
    <mergeCell ref="C30:F30"/>
    <mergeCell ref="G30:I30"/>
    <mergeCell ref="E35:F35"/>
    <mergeCell ref="C36:D36"/>
    <mergeCell ref="C37:D37"/>
    <mergeCell ref="E36:F36"/>
    <mergeCell ref="E33:F33"/>
    <mergeCell ref="E34:F34"/>
    <mergeCell ref="C33:D33"/>
    <mergeCell ref="H19:I19"/>
    <mergeCell ref="C2:D2"/>
    <mergeCell ref="C3:D3"/>
    <mergeCell ref="C4:D4"/>
    <mergeCell ref="C5:D5"/>
    <mergeCell ref="H3:I3"/>
    <mergeCell ref="H12:I12"/>
    <mergeCell ref="H5:I5"/>
    <mergeCell ref="H16:I16"/>
    <mergeCell ref="H17:I17"/>
    <mergeCell ref="C6:D6"/>
    <mergeCell ref="E15:F15"/>
    <mergeCell ref="E16:F16"/>
    <mergeCell ref="H6:I6"/>
    <mergeCell ref="H10:I10"/>
  </mergeCells>
  <conditionalFormatting sqref="H23">
    <cfRule type="cellIs" dxfId="11" priority="11" operator="lessThan">
      <formula>0</formula>
    </cfRule>
  </conditionalFormatting>
  <conditionalFormatting sqref="C33:H33 C35:H36">
    <cfRule type="containsBlanks" priority="5">
      <formula>LEN(TRIM(C33))=0</formula>
    </cfRule>
  </conditionalFormatting>
  <conditionalFormatting sqref="H16:H18">
    <cfRule type="cellIs" dxfId="10" priority="3" operator="lessThan">
      <formula>0</formula>
    </cfRule>
  </conditionalFormatting>
  <conditionalFormatting sqref="H24">
    <cfRule type="cellIs" dxfId="9" priority="1" operator="lessThanOrEqual">
      <formula>0</formula>
    </cfRule>
  </conditionalFormatting>
  <dataValidations count="2">
    <dataValidation type="list" allowBlank="1" sqref="H3" xr:uid="{00000000-0002-0000-0000-000000000000}">
      <formula1>"HK,US:NASDAQ,CN"</formula1>
    </dataValidation>
    <dataValidation type="list" allowBlank="1" sqref="H12" xr:uid="{00000000-0002-0000-0000-000001000000}">
      <formula1>"HKD,USD,CNY,EUR"</formula1>
    </dataValidation>
  </dataValidation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963"/>
  <sheetViews>
    <sheetView showGridLines="0" zoomScale="105" workbookViewId="0">
      <selection activeCell="D31" sqref="D31"/>
    </sheetView>
  </sheetViews>
  <sheetFormatPr defaultColWidth="12.453125" defaultRowHeight="15" customHeight="1" x14ac:dyDescent="0.3"/>
  <cols>
    <col min="1" max="1" width="1.453125" style="3" customWidth="1"/>
    <col min="2" max="2" width="26.453125" style="3" customWidth="1"/>
    <col min="3" max="13" width="24.6328125" style="3" customWidth="1"/>
    <col min="14" max="16384" width="12.453125" style="3"/>
  </cols>
  <sheetData>
    <row r="1" spans="1:14" ht="8.25" customHeight="1" x14ac:dyDescent="0.3">
      <c r="A1" s="52"/>
      <c r="B1" s="53"/>
      <c r="C1" s="54"/>
      <c r="D1" s="54"/>
      <c r="E1" s="54"/>
      <c r="F1" s="54"/>
    </row>
    <row r="2" spans="1:14" ht="15.75" customHeight="1" x14ac:dyDescent="0.3">
      <c r="A2" s="55"/>
      <c r="B2" s="12" t="s">
        <v>56</v>
      </c>
      <c r="C2" s="56"/>
      <c r="D2" s="56"/>
      <c r="E2" s="56"/>
      <c r="F2" s="56"/>
      <c r="G2" s="13"/>
      <c r="H2" s="13"/>
      <c r="I2" s="13"/>
      <c r="J2" s="13"/>
      <c r="K2" s="13"/>
      <c r="L2" s="13"/>
      <c r="M2" s="13"/>
    </row>
    <row r="3" spans="1:14" ht="15.75" customHeight="1" x14ac:dyDescent="0.3">
      <c r="A3" s="9"/>
      <c r="B3" s="5" t="s">
        <v>57</v>
      </c>
      <c r="C3" s="46">
        <v>2021</v>
      </c>
      <c r="D3" s="6"/>
      <c r="E3" s="57">
        <v>1</v>
      </c>
      <c r="F3" s="58">
        <f t="array" ref="F3">AVERAGE(C18:INDEX(C18:M18,1,E3))</f>
        <v>457813</v>
      </c>
      <c r="G3" s="6"/>
      <c r="H3" s="5" t="str">
        <f>"Past "&amp;'FCF Model'!C3&amp;" yrs Revenue CAGR"</f>
        <v>Past 4 yrs Revenue CAGR</v>
      </c>
      <c r="I3" s="6"/>
      <c r="J3" s="59" cm="1">
        <f t="array" ref="J3">(C7/INDEX(C7:L7,0,'FCF Model'!C3+1))^(1/('FCF Model'!C3))-1</f>
        <v>-0.25253844224365607</v>
      </c>
      <c r="K3" s="6"/>
      <c r="L3" s="6"/>
      <c r="M3" s="6"/>
    </row>
    <row r="4" spans="1:14" ht="15.75" customHeight="1" x14ac:dyDescent="0.3">
      <c r="A4" s="9"/>
      <c r="B4" s="5" t="s">
        <v>58</v>
      </c>
      <c r="C4" s="51">
        <v>1000</v>
      </c>
      <c r="D4" s="6"/>
      <c r="E4" s="60">
        <f>E3</f>
        <v>1</v>
      </c>
      <c r="F4" s="61">
        <f>AVERAGE(C16:INDEX(C16:M16,1,E4))</f>
        <v>176439.75</v>
      </c>
      <c r="G4" s="6"/>
      <c r="H4" s="3" t="str">
        <f>"Past "&amp;'FCF Model'!C3&amp;" yrs EBIT CAGR"</f>
        <v>Past 4 yrs EBIT CAGR</v>
      </c>
      <c r="I4" s="6"/>
      <c r="J4" s="62" cm="1">
        <f t="array" ref="J4">IFERROR((C14/INDEX(C14:L14,0,'FCF Model'!C3))^(1/('FCF Model'!C3-1))-1,"NA")</f>
        <v>-7.3199641347883149E-2</v>
      </c>
      <c r="K4" s="6"/>
    </row>
    <row r="5" spans="1:14" ht="15.75" customHeight="1" x14ac:dyDescent="0.3">
      <c r="A5" s="9"/>
      <c r="C5" s="6"/>
      <c r="F5" s="6"/>
      <c r="J5" s="6"/>
    </row>
    <row r="6" spans="1:14" ht="15.75" customHeight="1" x14ac:dyDescent="0.3">
      <c r="A6" s="9"/>
      <c r="B6" s="63"/>
      <c r="C6" s="64" t="str">
        <f>"FY "&amp;$C$3</f>
        <v>FY 2021</v>
      </c>
      <c r="D6" s="65" t="str">
        <f>"FY "&amp;$C$3-1</f>
        <v>FY 2020</v>
      </c>
      <c r="E6" s="65" t="str">
        <f>"FY "&amp;$C$3-2</f>
        <v>FY 2019</v>
      </c>
      <c r="F6" s="65" t="str">
        <f>"FY "&amp;$C$3-3</f>
        <v>FY 2018</v>
      </c>
      <c r="G6" s="65" t="str">
        <f>"FY "&amp;$C$3-4</f>
        <v>FY 2017</v>
      </c>
      <c r="H6" s="65" t="str">
        <f>"FY "&amp;$C$3-5</f>
        <v>FY 2016</v>
      </c>
      <c r="I6" s="65" t="str">
        <f>"FY "&amp;$C$3-6</f>
        <v>FY 2015</v>
      </c>
      <c r="J6" s="65" t="str">
        <f>"FY "&amp;$C$3-7</f>
        <v>FY 2014</v>
      </c>
      <c r="K6" s="65" t="str">
        <f>"FY "&amp;$C$3-8</f>
        <v>FY 2013</v>
      </c>
      <c r="L6" s="65" t="str">
        <f>"FY "&amp;$C$3-9</f>
        <v>FY 2012</v>
      </c>
      <c r="M6" s="65" t="str">
        <f>"FY "&amp;$C$3-10</f>
        <v>FY 2011</v>
      </c>
    </row>
    <row r="7" spans="1:14" ht="15.75" customHeight="1" x14ac:dyDescent="0.3">
      <c r="A7" s="9"/>
      <c r="B7" s="66" t="s">
        <v>59</v>
      </c>
      <c r="C7" s="51">
        <v>1281649</v>
      </c>
      <c r="D7" s="51">
        <v>2561449</v>
      </c>
      <c r="E7" s="51">
        <v>1603918</v>
      </c>
      <c r="F7" s="51">
        <v>1641365</v>
      </c>
      <c r="G7" s="51">
        <v>4105950</v>
      </c>
      <c r="H7" s="51">
        <v>1398604</v>
      </c>
      <c r="I7" s="51">
        <v>1768257</v>
      </c>
      <c r="J7" s="51">
        <v>1599445</v>
      </c>
      <c r="K7" s="51">
        <v>1027581</v>
      </c>
      <c r="L7" s="51">
        <v>651576</v>
      </c>
      <c r="M7" s="51"/>
      <c r="N7" s="6"/>
    </row>
    <row r="8" spans="1:14" ht="15.75" customHeight="1" x14ac:dyDescent="0.3">
      <c r="A8" s="9"/>
      <c r="B8" s="67" t="s">
        <v>60</v>
      </c>
      <c r="C8" s="15">
        <f t="shared" ref="C8:L8" si="0">IF(D7="","",C7/D7-1)</f>
        <v>-0.49963907147868258</v>
      </c>
      <c r="D8" s="15">
        <f t="shared" si="0"/>
        <v>0.59699498353407088</v>
      </c>
      <c r="E8" s="15">
        <f t="shared" si="0"/>
        <v>-2.2814547647841854E-2</v>
      </c>
      <c r="F8" s="15">
        <f t="shared" si="0"/>
        <v>-0.60024720223090888</v>
      </c>
      <c r="G8" s="15">
        <f t="shared" si="0"/>
        <v>1.9357487895072514</v>
      </c>
      <c r="H8" s="15">
        <f t="shared" si="0"/>
        <v>-0.20904936329956558</v>
      </c>
      <c r="I8" s="15">
        <f t="shared" si="0"/>
        <v>0.10554411061336899</v>
      </c>
      <c r="J8" s="15">
        <f t="shared" si="0"/>
        <v>0.55651476623254026</v>
      </c>
      <c r="K8" s="15">
        <f t="shared" si="0"/>
        <v>0.57707005782901755</v>
      </c>
      <c r="L8" s="15" t="str">
        <f t="shared" si="0"/>
        <v/>
      </c>
      <c r="M8" s="15"/>
      <c r="N8" s="6"/>
    </row>
    <row r="9" spans="1:14" ht="15.75" customHeight="1" x14ac:dyDescent="0.3">
      <c r="A9" s="9"/>
      <c r="B9" s="67" t="s">
        <v>61</v>
      </c>
      <c r="C9" s="51">
        <v>915778</v>
      </c>
      <c r="D9" s="51">
        <v>1183731</v>
      </c>
      <c r="E9" s="51">
        <v>1208113</v>
      </c>
      <c r="F9" s="51">
        <v>1190164</v>
      </c>
      <c r="G9" s="51">
        <v>1800063</v>
      </c>
      <c r="H9" s="51">
        <v>1118652</v>
      </c>
      <c r="I9" s="51">
        <v>1138302</v>
      </c>
      <c r="J9" s="51">
        <v>772953</v>
      </c>
      <c r="K9" s="51">
        <v>520308</v>
      </c>
      <c r="L9" s="51">
        <v>376017</v>
      </c>
      <c r="M9" s="51"/>
      <c r="N9" s="6"/>
    </row>
    <row r="10" spans="1:14" ht="15.75" customHeight="1" x14ac:dyDescent="0.3">
      <c r="A10" s="9"/>
      <c r="B10" s="67" t="s">
        <v>62</v>
      </c>
      <c r="C10" s="15">
        <f t="shared" ref="C10:M10" si="1">IF(C7="","",(C7-C9)/C7)</f>
        <v>0.28546895444852688</v>
      </c>
      <c r="D10" s="15">
        <f t="shared" si="1"/>
        <v>0.53786665282033719</v>
      </c>
      <c r="E10" s="15">
        <f t="shared" si="1"/>
        <v>0.24677383756526206</v>
      </c>
      <c r="F10" s="15">
        <f t="shared" si="1"/>
        <v>0.27489376220401923</v>
      </c>
      <c r="G10" s="15">
        <f t="shared" si="1"/>
        <v>0.56159646366857852</v>
      </c>
      <c r="H10" s="15">
        <f t="shared" si="1"/>
        <v>0.20016530769252769</v>
      </c>
      <c r="I10" s="15">
        <f t="shared" si="1"/>
        <v>0.35625760282583357</v>
      </c>
      <c r="J10" s="15">
        <f t="shared" si="1"/>
        <v>0.51673674305774819</v>
      </c>
      <c r="K10" s="15">
        <f t="shared" si="1"/>
        <v>0.49365743430444897</v>
      </c>
      <c r="L10" s="15">
        <f t="shared" si="1"/>
        <v>0.42291152528638254</v>
      </c>
      <c r="M10" s="15" t="str">
        <f t="shared" si="1"/>
        <v/>
      </c>
      <c r="N10" s="6"/>
    </row>
    <row r="11" spans="1:14" ht="15.75" customHeight="1" x14ac:dyDescent="0.3">
      <c r="A11" s="9"/>
      <c r="B11" s="67" t="s">
        <v>63</v>
      </c>
      <c r="C11" s="51">
        <v>130618</v>
      </c>
      <c r="D11" s="51">
        <v>151504</v>
      </c>
      <c r="E11" s="51">
        <v>152501</v>
      </c>
      <c r="F11" s="51">
        <v>155688</v>
      </c>
      <c r="G11" s="51">
        <v>137809</v>
      </c>
      <c r="H11" s="51">
        <v>123295</v>
      </c>
      <c r="I11" s="51">
        <v>150977</v>
      </c>
      <c r="J11" s="51">
        <v>106938</v>
      </c>
      <c r="K11" s="51">
        <v>84316</v>
      </c>
      <c r="L11" s="51">
        <v>75325</v>
      </c>
      <c r="M11" s="51"/>
      <c r="N11" s="6"/>
    </row>
    <row r="12" spans="1:14" ht="15.75" customHeight="1" x14ac:dyDescent="0.3">
      <c r="A12" s="9"/>
      <c r="B12" s="67" t="s">
        <v>64</v>
      </c>
      <c r="C12" s="15">
        <f t="shared" ref="C12:M12" si="2">IF(C7="","",C10-C13)</f>
        <v>0.10191401858075028</v>
      </c>
      <c r="D12" s="15">
        <f t="shared" si="2"/>
        <v>5.9147771437182584E-2</v>
      </c>
      <c r="E12" s="15">
        <f t="shared" si="2"/>
        <v>9.508029712242147E-2</v>
      </c>
      <c r="F12" s="15">
        <f t="shared" si="2"/>
        <v>9.4852759745699483E-2</v>
      </c>
      <c r="G12" s="15">
        <f t="shared" si="2"/>
        <v>3.3563243585528313E-2</v>
      </c>
      <c r="H12" s="15">
        <f t="shared" si="2"/>
        <v>8.8155761030284482E-2</v>
      </c>
      <c r="I12" s="15">
        <f t="shared" si="2"/>
        <v>8.538181949795759E-2</v>
      </c>
      <c r="J12" s="15">
        <f t="shared" si="2"/>
        <v>6.6859441868898306E-2</v>
      </c>
      <c r="K12" s="15">
        <f t="shared" si="2"/>
        <v>8.2052898992877432E-2</v>
      </c>
      <c r="L12" s="15">
        <f t="shared" si="2"/>
        <v>0.11560431937333476</v>
      </c>
      <c r="M12" s="15" t="str">
        <f t="shared" si="2"/>
        <v/>
      </c>
      <c r="N12" s="6"/>
    </row>
    <row r="13" spans="1:14" ht="15.75" customHeight="1" x14ac:dyDescent="0.3">
      <c r="A13" s="9"/>
      <c r="B13" s="67" t="s">
        <v>65</v>
      </c>
      <c r="C13" s="15">
        <f t="shared" ref="C13:M13" si="3">IF(C14="","",C14/C7)</f>
        <v>0.1835549358677766</v>
      </c>
      <c r="D13" s="15">
        <f t="shared" si="3"/>
        <v>0.4787188813831546</v>
      </c>
      <c r="E13" s="15">
        <f t="shared" si="3"/>
        <v>0.15169354044284059</v>
      </c>
      <c r="F13" s="15">
        <f t="shared" si="3"/>
        <v>0.18004100245831975</v>
      </c>
      <c r="G13" s="15">
        <f t="shared" si="3"/>
        <v>0.5280332200830502</v>
      </c>
      <c r="H13" s="15">
        <f t="shared" si="3"/>
        <v>0.11200954666224321</v>
      </c>
      <c r="I13" s="15">
        <f t="shared" si="3"/>
        <v>0.27087578332787599</v>
      </c>
      <c r="J13" s="15">
        <f t="shared" si="3"/>
        <v>0.44987730118884989</v>
      </c>
      <c r="K13" s="15">
        <f t="shared" si="3"/>
        <v>0.41160453531157154</v>
      </c>
      <c r="L13" s="15">
        <f t="shared" si="3"/>
        <v>0.30730720591304778</v>
      </c>
      <c r="M13" s="15" t="str">
        <f t="shared" si="3"/>
        <v/>
      </c>
      <c r="N13" s="6"/>
    </row>
    <row r="14" spans="1:14" ht="15.75" customHeight="1" x14ac:dyDescent="0.3">
      <c r="A14" s="9"/>
      <c r="B14" s="67" t="s">
        <v>66</v>
      </c>
      <c r="C14" s="34">
        <f t="shared" ref="C14:M14" si="4">IF(C7="","",C7-C9-C11)</f>
        <v>235253</v>
      </c>
      <c r="D14" s="34">
        <f t="shared" si="4"/>
        <v>1226214</v>
      </c>
      <c r="E14" s="34">
        <f t="shared" si="4"/>
        <v>243304</v>
      </c>
      <c r="F14" s="34">
        <f t="shared" si="4"/>
        <v>295513</v>
      </c>
      <c r="G14" s="34">
        <f t="shared" si="4"/>
        <v>2168078</v>
      </c>
      <c r="H14" s="34">
        <f t="shared" si="4"/>
        <v>156657</v>
      </c>
      <c r="I14" s="34">
        <f t="shared" si="4"/>
        <v>478978</v>
      </c>
      <c r="J14" s="34">
        <f t="shared" si="4"/>
        <v>719554</v>
      </c>
      <c r="K14" s="34">
        <f t="shared" si="4"/>
        <v>422957</v>
      </c>
      <c r="L14" s="34">
        <f t="shared" si="4"/>
        <v>200234</v>
      </c>
      <c r="M14" s="34" t="str">
        <f t="shared" si="4"/>
        <v/>
      </c>
      <c r="N14" s="6"/>
    </row>
    <row r="15" spans="1:14" ht="15.75" customHeight="1" x14ac:dyDescent="0.3">
      <c r="A15" s="9"/>
      <c r="B15" s="67" t="s">
        <v>67</v>
      </c>
      <c r="C15" s="15">
        <f>IF(D14="","",IF(ABS(C14+D14)=ABS(C14)+ABS(D14),IF(C14&lt;0,-1,1)*(C14-D14)/D14,"Turn"))</f>
        <v>-0.80814686506596722</v>
      </c>
      <c r="D15" s="15">
        <f t="shared" ref="D15:M15" si="5">IF(E14="","",IF(ABS(D14+E14)=ABS(D14)+ABS(E14),IF(D14&lt;0,-1,1)*(D14-E14)/E14,"Turn"))</f>
        <v>4.0398431591753523</v>
      </c>
      <c r="E15" s="15">
        <f t="shared" si="5"/>
        <v>-0.17667243065448898</v>
      </c>
      <c r="F15" s="15">
        <f t="shared" si="5"/>
        <v>-0.86369816953080103</v>
      </c>
      <c r="G15" s="15">
        <f t="shared" si="5"/>
        <v>12.839649680512203</v>
      </c>
      <c r="H15" s="15">
        <f t="shared" si="5"/>
        <v>-0.67293487383554151</v>
      </c>
      <c r="I15" s="15">
        <f t="shared" si="5"/>
        <v>-0.33434043866061475</v>
      </c>
      <c r="J15" s="15">
        <f t="shared" si="5"/>
        <v>0.7012462259756902</v>
      </c>
      <c r="K15" s="15">
        <f t="shared" si="5"/>
        <v>1.1123135930960777</v>
      </c>
      <c r="L15" s="15" t="str">
        <f t="shared" si="5"/>
        <v/>
      </c>
      <c r="M15" s="15" t="str">
        <f t="shared" si="5"/>
        <v/>
      </c>
      <c r="N15" s="6"/>
    </row>
    <row r="16" spans="1:14" ht="15.75" customHeight="1" x14ac:dyDescent="0.3">
      <c r="A16" s="9"/>
      <c r="B16" s="67" t="s">
        <v>68</v>
      </c>
      <c r="C16" s="34">
        <f>IF(C14="","",C14*(1-'FCF Model'!$D$17))</f>
        <v>176439.75</v>
      </c>
      <c r="D16" s="34">
        <f>IF(D14="","",D14*(1-'FCF Model'!$D$17))</f>
        <v>919660.5</v>
      </c>
      <c r="E16" s="34">
        <f>IF(E14="","",E14*(1-'FCF Model'!$D$17))</f>
        <v>182478</v>
      </c>
      <c r="F16" s="34">
        <f>IF(F14="","",F14*(1-'FCF Model'!$D$17))</f>
        <v>221634.75</v>
      </c>
      <c r="G16" s="34">
        <f>IF(G14="","",G14*(1-'FCF Model'!$D$17))</f>
        <v>1626058.5</v>
      </c>
      <c r="H16" s="34">
        <f>IF(H14="","",H14*(1-'FCF Model'!$D$17))</f>
        <v>117492.75</v>
      </c>
      <c r="I16" s="34">
        <f>IF(I14="","",I14*(1-'FCF Model'!$D$17))</f>
        <v>359233.5</v>
      </c>
      <c r="J16" s="34">
        <f>IF(J14="","",J14*(1-'FCF Model'!$D$17))</f>
        <v>539665.5</v>
      </c>
      <c r="K16" s="34">
        <f>IF(K14="","",K14*(1-'FCF Model'!$D$17))</f>
        <v>317217.75</v>
      </c>
      <c r="L16" s="34">
        <f>IF(L14="","",L14*(1-'FCF Model'!$D$17))</f>
        <v>150175.5</v>
      </c>
      <c r="M16" s="34" t="str">
        <f>IF(M14="","",M14*(1-'FCF Model'!$D$17))</f>
        <v/>
      </c>
      <c r="N16" s="6"/>
    </row>
    <row r="17" spans="1:14" ht="15.75" customHeight="1" x14ac:dyDescent="0.3">
      <c r="A17" s="9"/>
      <c r="B17" s="67" t="s">
        <v>69</v>
      </c>
      <c r="C17" s="51">
        <v>3968</v>
      </c>
      <c r="D17" s="51">
        <v>3450</v>
      </c>
      <c r="E17" s="51">
        <v>5627</v>
      </c>
      <c r="F17" s="51">
        <v>0</v>
      </c>
      <c r="G17" s="51">
        <v>0</v>
      </c>
      <c r="H17" s="51">
        <v>0</v>
      </c>
      <c r="I17" s="51">
        <v>0</v>
      </c>
      <c r="J17" s="51">
        <v>0</v>
      </c>
      <c r="K17" s="51">
        <v>0</v>
      </c>
      <c r="L17" s="51">
        <v>0</v>
      </c>
      <c r="M17" s="51"/>
      <c r="N17" s="6"/>
    </row>
    <row r="18" spans="1:14" ht="15.75" customHeight="1" x14ac:dyDescent="0.3">
      <c r="A18" s="9"/>
      <c r="B18" s="67" t="s">
        <v>70</v>
      </c>
      <c r="C18" s="51">
        <v>457813</v>
      </c>
      <c r="D18" s="51">
        <v>1379475</v>
      </c>
      <c r="E18" s="51">
        <v>513409</v>
      </c>
      <c r="F18" s="51">
        <v>229453</v>
      </c>
      <c r="G18" s="51">
        <v>2086564</v>
      </c>
      <c r="H18" s="51">
        <v>146020</v>
      </c>
      <c r="I18" s="51">
        <v>270788</v>
      </c>
      <c r="J18" s="51">
        <v>801401</v>
      </c>
      <c r="K18" s="51">
        <v>381246</v>
      </c>
      <c r="L18" s="51">
        <v>369478</v>
      </c>
      <c r="M18" s="51"/>
      <c r="N18" s="6"/>
    </row>
    <row r="19" spans="1:14" ht="15.75" customHeight="1" x14ac:dyDescent="0.3">
      <c r="A19" s="9"/>
      <c r="B19" s="67" t="s">
        <v>71</v>
      </c>
      <c r="C19" s="15">
        <f t="shared" ref="C19:M19" si="6">IF(C7="","",C18/C7)</f>
        <v>0.35720622416901976</v>
      </c>
      <c r="D19" s="15">
        <f t="shared" si="6"/>
        <v>0.53855259269265165</v>
      </c>
      <c r="E19" s="15">
        <f t="shared" si="6"/>
        <v>0.32009678799040847</v>
      </c>
      <c r="F19" s="15">
        <f t="shared" si="6"/>
        <v>0.1397940129099865</v>
      </c>
      <c r="G19" s="15">
        <f t="shared" si="6"/>
        <v>0.50818056722561156</v>
      </c>
      <c r="H19" s="15">
        <f t="shared" si="6"/>
        <v>0.10440410580836319</v>
      </c>
      <c r="I19" s="15">
        <f t="shared" si="6"/>
        <v>0.15313837298537486</v>
      </c>
      <c r="J19" s="15">
        <f t="shared" si="6"/>
        <v>0.50104942651982409</v>
      </c>
      <c r="K19" s="15">
        <f t="shared" si="6"/>
        <v>0.37101308801933863</v>
      </c>
      <c r="L19" s="15">
        <f t="shared" si="6"/>
        <v>0.56705280734710917</v>
      </c>
      <c r="M19" s="15" t="str">
        <f t="shared" si="6"/>
        <v/>
      </c>
      <c r="N19" s="6"/>
    </row>
    <row r="20" spans="1:14" ht="15.75" customHeight="1" x14ac:dyDescent="0.3">
      <c r="A20" s="9"/>
      <c r="B20" s="67" t="s">
        <v>72</v>
      </c>
      <c r="C20" s="68">
        <f>'Asset Model'!C21</f>
        <v>2002346</v>
      </c>
      <c r="D20" s="51">
        <v>3670507</v>
      </c>
      <c r="E20" s="51">
        <v>2865345</v>
      </c>
      <c r="F20" s="51">
        <v>2527686</v>
      </c>
      <c r="G20" s="51">
        <v>5106235</v>
      </c>
      <c r="H20" s="51">
        <v>3106308</v>
      </c>
      <c r="I20" s="51">
        <v>3051307</v>
      </c>
      <c r="J20" s="51">
        <v>3170680</v>
      </c>
      <c r="K20" s="51">
        <v>1921903</v>
      </c>
      <c r="L20" s="51">
        <v>1751952</v>
      </c>
      <c r="M20" s="51"/>
      <c r="N20" s="6"/>
    </row>
    <row r="21" spans="1:14" ht="15.75" customHeight="1" x14ac:dyDescent="0.3">
      <c r="A21" s="9"/>
      <c r="B21" s="67" t="s">
        <v>73</v>
      </c>
      <c r="C21" s="68">
        <f>'Asset Model'!H21</f>
        <v>182527</v>
      </c>
      <c r="D21" s="51">
        <v>828810</v>
      </c>
      <c r="E21" s="51">
        <v>420078</v>
      </c>
      <c r="F21" s="51">
        <v>315633</v>
      </c>
      <c r="G21" s="51">
        <v>1218726</v>
      </c>
      <c r="H21" s="51">
        <v>2910215</v>
      </c>
      <c r="I21" s="51">
        <v>404572</v>
      </c>
      <c r="J21" s="51">
        <v>475871</v>
      </c>
      <c r="K21" s="51">
        <v>251770</v>
      </c>
      <c r="L21" s="51">
        <v>265414</v>
      </c>
      <c r="M21" s="51"/>
      <c r="N21" s="6"/>
    </row>
    <row r="22" spans="1:14" ht="15.75" customHeight="1" x14ac:dyDescent="0.3">
      <c r="A22" s="9"/>
      <c r="B22" s="67" t="s">
        <v>74</v>
      </c>
      <c r="C22" s="68">
        <f>'Asset Model'!H10+'Asset Model'!H12</f>
        <v>19158</v>
      </c>
      <c r="D22" s="51">
        <v>98956</v>
      </c>
      <c r="E22" s="51">
        <v>28056</v>
      </c>
      <c r="F22" s="51">
        <v>0</v>
      </c>
      <c r="G22" s="51">
        <v>0</v>
      </c>
      <c r="H22" s="51">
        <v>0</v>
      </c>
      <c r="I22" s="51">
        <v>59800</v>
      </c>
      <c r="J22" s="51">
        <v>62420</v>
      </c>
      <c r="K22" s="51">
        <v>0</v>
      </c>
      <c r="L22" s="51">
        <v>0</v>
      </c>
      <c r="M22" s="51"/>
      <c r="N22" s="6"/>
    </row>
    <row r="23" spans="1:14" ht="15.75" customHeight="1" x14ac:dyDescent="0.3">
      <c r="A23" s="9"/>
      <c r="B23" s="67" t="s">
        <v>75</v>
      </c>
      <c r="C23" s="68">
        <f>'Asset Model'!H23+'Asset Model'!H24</f>
        <v>96197</v>
      </c>
      <c r="D23" s="51">
        <v>775</v>
      </c>
      <c r="E23" s="51">
        <v>92873</v>
      </c>
      <c r="F23" s="51">
        <v>83168</v>
      </c>
      <c r="G23" s="51">
        <v>0</v>
      </c>
      <c r="H23" s="51">
        <v>0</v>
      </c>
      <c r="I23" s="51">
        <v>0</v>
      </c>
      <c r="J23" s="51">
        <v>0</v>
      </c>
      <c r="K23" s="51">
        <v>0</v>
      </c>
      <c r="L23" s="51">
        <v>0</v>
      </c>
      <c r="M23" s="51"/>
      <c r="N23" s="6"/>
    </row>
    <row r="24" spans="1:14" ht="15.75" customHeight="1" x14ac:dyDescent="0.3">
      <c r="A24" s="9"/>
      <c r="B24" s="67" t="s">
        <v>76</v>
      </c>
      <c r="C24" s="34">
        <f t="shared" ref="C24:M24" si="7">IF(C7="","",C22+C23)</f>
        <v>115355</v>
      </c>
      <c r="D24" s="34">
        <f t="shared" si="7"/>
        <v>99731</v>
      </c>
      <c r="E24" s="34">
        <f t="shared" si="7"/>
        <v>120929</v>
      </c>
      <c r="F24" s="34">
        <f t="shared" si="7"/>
        <v>83168</v>
      </c>
      <c r="G24" s="34">
        <f t="shared" si="7"/>
        <v>0</v>
      </c>
      <c r="H24" s="34">
        <f t="shared" si="7"/>
        <v>0</v>
      </c>
      <c r="I24" s="34">
        <f t="shared" si="7"/>
        <v>59800</v>
      </c>
      <c r="J24" s="34">
        <f t="shared" si="7"/>
        <v>62420</v>
      </c>
      <c r="K24" s="34">
        <f t="shared" si="7"/>
        <v>0</v>
      </c>
      <c r="L24" s="34">
        <f t="shared" si="7"/>
        <v>0</v>
      </c>
      <c r="M24" s="34" t="str">
        <f t="shared" si="7"/>
        <v/>
      </c>
      <c r="N24" s="6"/>
    </row>
    <row r="25" spans="1:14" ht="15.75" customHeight="1" x14ac:dyDescent="0.3">
      <c r="A25" s="9"/>
      <c r="B25" s="67" t="s">
        <v>77</v>
      </c>
      <c r="C25" s="68">
        <f>'Asset Model'!D3</f>
        <v>4649215</v>
      </c>
      <c r="D25" s="51">
        <v>5418042</v>
      </c>
      <c r="E25" s="51">
        <v>4389444</v>
      </c>
      <c r="F25" s="51">
        <v>3978461</v>
      </c>
      <c r="G25" s="51">
        <v>5640023</v>
      </c>
      <c r="H25" s="51">
        <v>3760569</v>
      </c>
      <c r="I25" s="51">
        <v>3860461</v>
      </c>
      <c r="J25" s="51">
        <v>3886205</v>
      </c>
      <c r="K25" s="51">
        <v>2828665</v>
      </c>
      <c r="L25" s="51">
        <v>2717178</v>
      </c>
      <c r="M25" s="51"/>
      <c r="N25" s="6"/>
    </row>
    <row r="26" spans="1:14" ht="15.75" customHeight="1" x14ac:dyDescent="0.3">
      <c r="A26" s="9"/>
      <c r="B26" s="67" t="s">
        <v>78</v>
      </c>
      <c r="C26" s="68">
        <f>'Asset Model'!C43</f>
        <v>0</v>
      </c>
      <c r="D26" s="51">
        <v>0</v>
      </c>
      <c r="E26" s="51">
        <v>0</v>
      </c>
      <c r="F26" s="51">
        <v>0</v>
      </c>
      <c r="G26" s="51">
        <v>0</v>
      </c>
      <c r="H26" s="51">
        <v>62853</v>
      </c>
      <c r="I26" s="51">
        <v>70262</v>
      </c>
      <c r="J26" s="51">
        <v>76617</v>
      </c>
      <c r="K26" s="51">
        <v>81590</v>
      </c>
      <c r="L26" s="51">
        <v>84753</v>
      </c>
      <c r="M26" s="51"/>
      <c r="N26" s="6"/>
    </row>
    <row r="27" spans="1:14" ht="15.75" customHeight="1" x14ac:dyDescent="0.3">
      <c r="A27" s="9"/>
      <c r="B27" s="67" t="s">
        <v>79</v>
      </c>
      <c r="C27" s="68">
        <f>'Asset Model'!D52</f>
        <v>1603645</v>
      </c>
      <c r="D27" s="51">
        <v>1974408</v>
      </c>
      <c r="E27" s="51">
        <v>2200778</v>
      </c>
      <c r="F27" s="51">
        <v>1629166</v>
      </c>
      <c r="G27" s="51">
        <v>2204704</v>
      </c>
      <c r="H27" s="51">
        <v>2629131</v>
      </c>
      <c r="I27" s="51">
        <v>2228784</v>
      </c>
      <c r="J27" s="51">
        <v>1551001</v>
      </c>
      <c r="K27" s="51">
        <v>692116</v>
      </c>
      <c r="L27" s="51">
        <v>888090</v>
      </c>
      <c r="M27" s="51"/>
      <c r="N27" s="6"/>
    </row>
    <row r="28" spans="1:14" ht="15.75" customHeight="1" x14ac:dyDescent="0.3">
      <c r="A28" s="9"/>
      <c r="B28" s="67" t="s">
        <v>80</v>
      </c>
      <c r="C28" s="68">
        <f>'Asset Model'!C23+'Asset Model'!C24+'Asset Model'!C27</f>
        <v>232020</v>
      </c>
      <c r="D28" s="51">
        <v>208555</v>
      </c>
      <c r="E28" s="51">
        <v>235491</v>
      </c>
      <c r="F28" s="51">
        <v>26543</v>
      </c>
      <c r="G28" s="51">
        <v>26543</v>
      </c>
      <c r="H28" s="51">
        <v>7710</v>
      </c>
      <c r="I28" s="51">
        <v>16461</v>
      </c>
      <c r="J28" s="51">
        <v>13753</v>
      </c>
      <c r="K28" s="51">
        <v>4332</v>
      </c>
      <c r="L28" s="51">
        <v>7747</v>
      </c>
      <c r="M28" s="51"/>
      <c r="N28" s="6"/>
    </row>
    <row r="29" spans="1:14" ht="15.75" customHeight="1" x14ac:dyDescent="0.3">
      <c r="A29" s="9"/>
      <c r="B29" s="67" t="s">
        <v>81</v>
      </c>
      <c r="C29" s="15">
        <f t="shared" ref="C29:M29" si="8">IF(D7="","",(C28-D28)/C28)</f>
        <v>0.10113352297215757</v>
      </c>
      <c r="D29" s="15">
        <f t="shared" si="8"/>
        <v>-0.12915537867708757</v>
      </c>
      <c r="E29" s="15">
        <f t="shared" si="8"/>
        <v>0.88728656296843611</v>
      </c>
      <c r="F29" s="15">
        <f t="shared" si="8"/>
        <v>0</v>
      </c>
      <c r="G29" s="15">
        <f t="shared" si="8"/>
        <v>0.70952793580228313</v>
      </c>
      <c r="H29" s="15">
        <f t="shared" si="8"/>
        <v>-1.1350194552529183</v>
      </c>
      <c r="I29" s="15">
        <f t="shared" si="8"/>
        <v>0.1645100540671891</v>
      </c>
      <c r="J29" s="15">
        <f t="shared" si="8"/>
        <v>0.68501417872464188</v>
      </c>
      <c r="K29" s="15">
        <f t="shared" si="8"/>
        <v>-0.78831948291782084</v>
      </c>
      <c r="L29" s="15" t="str">
        <f t="shared" si="8"/>
        <v/>
      </c>
      <c r="M29" s="15" t="str">
        <f t="shared" si="8"/>
        <v/>
      </c>
      <c r="N29" s="6"/>
    </row>
    <row r="30" spans="1:14" ht="15.75" customHeight="1" x14ac:dyDescent="0.3">
      <c r="A30" s="9"/>
      <c r="B30" s="67" t="s">
        <v>82</v>
      </c>
      <c r="C30" s="34">
        <f>IF(D7="","",(C7-D7)*$D$49)</f>
        <v>0</v>
      </c>
      <c r="D30" s="34">
        <f t="shared" ref="D30:M30" si="9">IF(E7="","",(D7-E7)*$D$49)</f>
        <v>0</v>
      </c>
      <c r="E30" s="34">
        <f t="shared" si="9"/>
        <v>0</v>
      </c>
      <c r="F30" s="34">
        <f t="shared" si="9"/>
        <v>0</v>
      </c>
      <c r="G30" s="34">
        <f t="shared" si="9"/>
        <v>0</v>
      </c>
      <c r="H30" s="34">
        <f t="shared" si="9"/>
        <v>0</v>
      </c>
      <c r="I30" s="34">
        <f t="shared" si="9"/>
        <v>0</v>
      </c>
      <c r="J30" s="34">
        <f t="shared" si="9"/>
        <v>0</v>
      </c>
      <c r="K30" s="34">
        <f t="shared" si="9"/>
        <v>0</v>
      </c>
      <c r="L30" s="34" t="str">
        <f t="shared" si="9"/>
        <v/>
      </c>
      <c r="M30" s="34" t="str">
        <f t="shared" si="9"/>
        <v/>
      </c>
      <c r="N30" s="6"/>
    </row>
    <row r="31" spans="1:14" ht="15.75" customHeight="1" x14ac:dyDescent="0.3">
      <c r="A31" s="9"/>
      <c r="B31" s="67" t="s">
        <v>83</v>
      </c>
      <c r="C31" s="34">
        <f t="shared" ref="C31:M31" si="10">IF(D7="","",C28-D28+C30)</f>
        <v>23465</v>
      </c>
      <c r="D31" s="34">
        <f t="shared" si="10"/>
        <v>-26936</v>
      </c>
      <c r="E31" s="34">
        <f t="shared" si="10"/>
        <v>208948</v>
      </c>
      <c r="F31" s="34">
        <f t="shared" si="10"/>
        <v>0</v>
      </c>
      <c r="G31" s="34">
        <f t="shared" si="10"/>
        <v>18833</v>
      </c>
      <c r="H31" s="34">
        <f t="shared" si="10"/>
        <v>-8751</v>
      </c>
      <c r="I31" s="34">
        <f t="shared" si="10"/>
        <v>2708</v>
      </c>
      <c r="J31" s="34">
        <f t="shared" si="10"/>
        <v>9421</v>
      </c>
      <c r="K31" s="34">
        <f t="shared" si="10"/>
        <v>-3415</v>
      </c>
      <c r="L31" s="34" t="str">
        <f t="shared" si="10"/>
        <v/>
      </c>
      <c r="M31" s="34" t="str">
        <f t="shared" si="10"/>
        <v/>
      </c>
      <c r="N31" s="6"/>
    </row>
    <row r="32" spans="1:14" ht="15.75" customHeight="1" x14ac:dyDescent="0.3">
      <c r="A32" s="9"/>
      <c r="B32" s="67" t="s">
        <v>84</v>
      </c>
      <c r="C32" s="15">
        <f t="shared" ref="C32:M32" si="11">IF(C31="","",C31/C16)</f>
        <v>0.13299157361082181</v>
      </c>
      <c r="D32" s="15">
        <f t="shared" si="11"/>
        <v>-2.9289069172808879E-2</v>
      </c>
      <c r="E32" s="15">
        <f t="shared" si="11"/>
        <v>1.1450585824044541</v>
      </c>
      <c r="F32" s="15">
        <f t="shared" si="11"/>
        <v>0</v>
      </c>
      <c r="G32" s="15">
        <f t="shared" si="11"/>
        <v>1.1581994128747521E-2</v>
      </c>
      <c r="H32" s="15">
        <f t="shared" si="11"/>
        <v>-7.4481191392660392E-2</v>
      </c>
      <c r="I32" s="15">
        <f t="shared" si="11"/>
        <v>7.5382724606697319E-3</v>
      </c>
      <c r="J32" s="15">
        <f t="shared" si="11"/>
        <v>1.7457110006105635E-2</v>
      </c>
      <c r="K32" s="15">
        <f t="shared" si="11"/>
        <v>-1.0765475765463944E-2</v>
      </c>
      <c r="L32" s="15" t="str">
        <f t="shared" si="11"/>
        <v/>
      </c>
      <c r="M32" s="15" t="str">
        <f t="shared" si="11"/>
        <v/>
      </c>
      <c r="N32" s="6"/>
    </row>
    <row r="33" spans="1:14" ht="15.75" customHeight="1" x14ac:dyDescent="0.3">
      <c r="A33" s="9"/>
      <c r="B33" s="69" t="s">
        <v>85</v>
      </c>
      <c r="C33" s="70">
        <f t="shared" ref="C33:M33" si="12">IF(C25="","",C25-C27+C24)</f>
        <v>3160925</v>
      </c>
      <c r="D33" s="70">
        <f t="shared" si="12"/>
        <v>3543365</v>
      </c>
      <c r="E33" s="70">
        <f t="shared" si="12"/>
        <v>2309595</v>
      </c>
      <c r="F33" s="70">
        <f t="shared" si="12"/>
        <v>2432463</v>
      </c>
      <c r="G33" s="70">
        <f t="shared" si="12"/>
        <v>3435319</v>
      </c>
      <c r="H33" s="70">
        <f t="shared" si="12"/>
        <v>1131438</v>
      </c>
      <c r="I33" s="70">
        <f t="shared" si="12"/>
        <v>1691477</v>
      </c>
      <c r="J33" s="70">
        <f t="shared" si="12"/>
        <v>2397624</v>
      </c>
      <c r="K33" s="70">
        <f t="shared" si="12"/>
        <v>2136549</v>
      </c>
      <c r="L33" s="70">
        <f t="shared" si="12"/>
        <v>1829088</v>
      </c>
      <c r="M33" s="70" t="str">
        <f t="shared" si="12"/>
        <v/>
      </c>
      <c r="N33" s="6"/>
    </row>
    <row r="34" spans="1:14" ht="15.75" customHeight="1" x14ac:dyDescent="0.3">
      <c r="A34" s="9"/>
      <c r="B34" s="71" t="s">
        <v>86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1:14" ht="15.75" customHeight="1" x14ac:dyDescent="0.3">
      <c r="A35" s="9"/>
      <c r="B35" s="66" t="s">
        <v>87</v>
      </c>
      <c r="C35" s="72">
        <f>IF(C16="","",(C16*$C$4)/(Dashboard!$H$6*1000000))</f>
        <v>3.4049300965075462E-2</v>
      </c>
      <c r="D35" s="72">
        <f>IF(D16="","",(D16*$C$4)/(Dashboard!$H$6*1000000))</f>
        <v>0.17747586442506172</v>
      </c>
      <c r="E35" s="72">
        <f>IF(E16="","",(E16*$C$4)/(Dashboard!$H$6*1000000))</f>
        <v>3.5214561013065596E-2</v>
      </c>
      <c r="F35" s="72">
        <f>IF(F16="","",(F16*$C$4)/(Dashboard!$H$6*1000000))</f>
        <v>4.2771021309366275E-2</v>
      </c>
      <c r="G35" s="72">
        <f>IF(G16="","",(G16*$C$4)/(Dashboard!$H$6*1000000))</f>
        <v>0.31379638235329149</v>
      </c>
      <c r="H35" s="72">
        <f>IF(H16="","",(H16*$C$4)/(Dashboard!$H$6*1000000))</f>
        <v>2.2673722933547399E-2</v>
      </c>
      <c r="I35" s="72">
        <f>IF(I16="","",(I16*$C$4)/(Dashboard!$H$6*1000000))</f>
        <v>6.9324795337997458E-2</v>
      </c>
      <c r="J35" s="72">
        <f>IF(J16="","",(J16*$C$4)/(Dashboard!$H$6*1000000))</f>
        <v>0.10414451975797932</v>
      </c>
      <c r="K35" s="72">
        <f>IF(K16="","",(K16*$C$4)/(Dashboard!$H$6*1000000))</f>
        <v>6.1216605902094434E-2</v>
      </c>
      <c r="L35" s="72">
        <f>IF(L16="","",(L16*$C$4)/(Dashboard!$H$6*1000000))</f>
        <v>2.8980832250559696E-2</v>
      </c>
      <c r="M35" s="72" t="str">
        <f>IF(M16="","",(M16*$C$4)/(Dashboard!$H$6*1000000))</f>
        <v/>
      </c>
      <c r="N35" s="6"/>
    </row>
    <row r="36" spans="1:14" ht="15.75" customHeight="1" x14ac:dyDescent="0.3">
      <c r="A36" s="9"/>
      <c r="B36" s="69" t="s">
        <v>88</v>
      </c>
      <c r="C36" s="73">
        <f>IF(C18="","",(C18*$C$4)/(Dashboard!$H$6*1000000))</f>
        <v>8.8348643787605069E-2</v>
      </c>
      <c r="D36" s="73">
        <f>IF(D18="","",(D18*$C$4)/(Dashboard!$H$6*1000000))</f>
        <v>0.2662107572063408</v>
      </c>
      <c r="E36" s="73">
        <f>IF(E18="","",(E18*$C$4)/(Dashboard!$H$6*1000000))</f>
        <v>9.9077546636619176E-2</v>
      </c>
      <c r="F36" s="73">
        <f>IF(F18="","",(F18*$C$4)/(Dashboard!$H$6*1000000))</f>
        <v>4.4279785333744014E-2</v>
      </c>
      <c r="G36" s="73">
        <f>IF(G18="","",(G18*$C$4)/(Dashboard!$H$6*1000000))</f>
        <v>0.40266462415012327</v>
      </c>
      <c r="H36" s="73">
        <f>IF(H18="","",(H18*$C$4)/(Dashboard!$H$6*1000000))</f>
        <v>2.817890484950426E-2</v>
      </c>
      <c r="I36" s="73">
        <f>IF(I18="","",(I18*$C$4)/(Dashboard!$H$6*1000000))</f>
        <v>5.225660379665497E-2</v>
      </c>
      <c r="J36" s="73">
        <f>IF(J18="","",(J18*$C$4)/(Dashboard!$H$6*1000000))</f>
        <v>0.15465417425898892</v>
      </c>
      <c r="K36" s="73">
        <f>IF(K18="","",(K18*$C$4)/(Dashboard!$H$6*1000000))</f>
        <v>7.3572762349363788E-2</v>
      </c>
      <c r="L36" s="73">
        <f>IF(L18="","",(L18*$C$4)/(Dashboard!$H$6*1000000))</f>
        <v>7.1301776509965303E-2</v>
      </c>
      <c r="M36" s="73" t="str">
        <f>IF(M18="","",(M18*$C$4)/(Dashboard!$H$6*1000000))</f>
        <v/>
      </c>
      <c r="N36" s="6"/>
    </row>
    <row r="37" spans="1:14" ht="15.75" customHeight="1" x14ac:dyDescent="0.3">
      <c r="A37" s="9"/>
      <c r="B37" s="193" t="s">
        <v>89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</row>
    <row r="38" spans="1:14" ht="15.75" customHeight="1" x14ac:dyDescent="0.3">
      <c r="A38" s="9"/>
      <c r="B38" s="66" t="s">
        <v>90</v>
      </c>
      <c r="C38" s="72">
        <f t="shared" ref="C38:M38" si="13">IF(C7="","",C16/C7)</f>
        <v>0.13766620190083245</v>
      </c>
      <c r="D38" s="72">
        <f t="shared" si="13"/>
        <v>0.35903916103736594</v>
      </c>
      <c r="E38" s="72">
        <f t="shared" si="13"/>
        <v>0.11377015533213045</v>
      </c>
      <c r="F38" s="72">
        <f t="shared" si="13"/>
        <v>0.1350307518437398</v>
      </c>
      <c r="G38" s="72">
        <f t="shared" si="13"/>
        <v>0.39602491506228765</v>
      </c>
      <c r="H38" s="72">
        <f t="shared" si="13"/>
        <v>8.4007159996682401E-2</v>
      </c>
      <c r="I38" s="72">
        <f t="shared" si="13"/>
        <v>0.20315683749590699</v>
      </c>
      <c r="J38" s="72">
        <f t="shared" si="13"/>
        <v>0.3374079758916374</v>
      </c>
      <c r="K38" s="72">
        <f t="shared" si="13"/>
        <v>0.30870340148367864</v>
      </c>
      <c r="L38" s="72">
        <f t="shared" si="13"/>
        <v>0.23048040443478582</v>
      </c>
      <c r="M38" s="72" t="str">
        <f t="shared" si="13"/>
        <v/>
      </c>
      <c r="N38" s="6"/>
    </row>
    <row r="39" spans="1:14" ht="15.75" customHeight="1" x14ac:dyDescent="0.3">
      <c r="A39" s="9"/>
      <c r="B39" s="67" t="s">
        <v>91</v>
      </c>
      <c r="C39" s="74">
        <f t="shared" ref="C39:L39" si="14">IF(D33="","",C7/D33)</f>
        <v>0.36170391703931148</v>
      </c>
      <c r="D39" s="74">
        <f t="shared" si="14"/>
        <v>1.1090468242267584</v>
      </c>
      <c r="E39" s="74">
        <f t="shared" si="14"/>
        <v>0.65938022489961823</v>
      </c>
      <c r="F39" s="74">
        <f t="shared" si="14"/>
        <v>0.47779114545112111</v>
      </c>
      <c r="G39" s="74">
        <f t="shared" si="14"/>
        <v>3.6289659707381228</v>
      </c>
      <c r="H39" s="74">
        <f t="shared" si="14"/>
        <v>0.82685369059112246</v>
      </c>
      <c r="I39" s="74">
        <f t="shared" si="14"/>
        <v>0.73750387884005164</v>
      </c>
      <c r="J39" s="74">
        <f t="shared" si="14"/>
        <v>0.74861142899133137</v>
      </c>
      <c r="K39" s="74">
        <f t="shared" si="14"/>
        <v>0.56179965097359996</v>
      </c>
      <c r="L39" s="74" t="str">
        <f t="shared" si="14"/>
        <v/>
      </c>
      <c r="M39" s="75"/>
      <c r="N39" s="6"/>
    </row>
    <row r="40" spans="1:14" ht="15.75" customHeight="1" x14ac:dyDescent="0.3">
      <c r="A40" s="9"/>
      <c r="B40" s="69" t="s">
        <v>92</v>
      </c>
      <c r="C40" s="73">
        <f t="shared" ref="C40:L40" si="15">IF(D33="","",C16/D33)</f>
        <v>4.9794404471455805E-2</v>
      </c>
      <c r="D40" s="73">
        <f t="shared" si="15"/>
        <v>0.39819124132153039</v>
      </c>
      <c r="E40" s="73">
        <f t="shared" si="15"/>
        <v>7.501779060976467E-2</v>
      </c>
      <c r="F40" s="73">
        <f t="shared" si="15"/>
        <v>6.4516497594546529E-2</v>
      </c>
      <c r="G40" s="73">
        <f t="shared" si="15"/>
        <v>1.4371609403254972</v>
      </c>
      <c r="H40" s="73">
        <f t="shared" si="15"/>
        <v>6.9461630279335745E-2</v>
      </c>
      <c r="I40" s="73">
        <f t="shared" si="15"/>
        <v>0.14982895566610946</v>
      </c>
      <c r="J40" s="73">
        <f t="shared" si="15"/>
        <v>0.25258746698531137</v>
      </c>
      <c r="K40" s="73">
        <f t="shared" si="15"/>
        <v>0.17342946320789376</v>
      </c>
      <c r="L40" s="73" t="str">
        <f t="shared" si="15"/>
        <v/>
      </c>
      <c r="M40" s="76"/>
      <c r="N40" s="6"/>
    </row>
    <row r="41" spans="1:14" ht="15.75" customHeight="1" x14ac:dyDescent="0.3">
      <c r="A41" s="9"/>
      <c r="B41" s="193" t="s">
        <v>93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 x14ac:dyDescent="0.3">
      <c r="A42" s="9"/>
      <c r="B42" s="66" t="s">
        <v>94</v>
      </c>
      <c r="C42" s="72">
        <f t="shared" ref="C42:M42" si="16">IF(C33="","",C23/C25)</f>
        <v>2.0691019881851021E-2</v>
      </c>
      <c r="D42" s="72">
        <f t="shared" si="16"/>
        <v>1.4304060396726345E-4</v>
      </c>
      <c r="E42" s="72">
        <f t="shared" si="16"/>
        <v>2.1158260590635171E-2</v>
      </c>
      <c r="F42" s="72">
        <f t="shared" si="16"/>
        <v>2.0904565861020127E-2</v>
      </c>
      <c r="G42" s="72">
        <f t="shared" si="16"/>
        <v>0</v>
      </c>
      <c r="H42" s="72">
        <f t="shared" si="16"/>
        <v>0</v>
      </c>
      <c r="I42" s="72">
        <f t="shared" si="16"/>
        <v>0</v>
      </c>
      <c r="J42" s="72">
        <f t="shared" si="16"/>
        <v>0</v>
      </c>
      <c r="K42" s="72">
        <f t="shared" si="16"/>
        <v>0</v>
      </c>
      <c r="L42" s="72">
        <f t="shared" si="16"/>
        <v>0</v>
      </c>
      <c r="M42" s="72" t="str">
        <f t="shared" si="16"/>
        <v/>
      </c>
      <c r="N42" s="6"/>
    </row>
    <row r="43" spans="1:14" ht="15.75" customHeight="1" x14ac:dyDescent="0.3">
      <c r="A43" s="9"/>
      <c r="B43" s="67" t="s">
        <v>95</v>
      </c>
      <c r="C43" s="15">
        <f t="shared" ref="C43:M43" si="17">IF(C33="","",C24/C25)</f>
        <v>2.4811715526169471E-2</v>
      </c>
      <c r="D43" s="15">
        <f t="shared" si="17"/>
        <v>1.8407203192592453E-2</v>
      </c>
      <c r="E43" s="15">
        <f t="shared" si="17"/>
        <v>2.7549958491326007E-2</v>
      </c>
      <c r="F43" s="15">
        <f t="shared" si="17"/>
        <v>2.0904565861020127E-2</v>
      </c>
      <c r="G43" s="15">
        <f t="shared" si="17"/>
        <v>0</v>
      </c>
      <c r="H43" s="15">
        <f t="shared" si="17"/>
        <v>0</v>
      </c>
      <c r="I43" s="15">
        <f t="shared" si="17"/>
        <v>1.5490377962631923E-2</v>
      </c>
      <c r="J43" s="15">
        <f t="shared" si="17"/>
        <v>1.6061942177522801E-2</v>
      </c>
      <c r="K43" s="15">
        <f t="shared" si="17"/>
        <v>0</v>
      </c>
      <c r="L43" s="15">
        <f t="shared" si="17"/>
        <v>0</v>
      </c>
      <c r="M43" s="15" t="str">
        <f t="shared" si="17"/>
        <v/>
      </c>
      <c r="N43" s="6"/>
    </row>
    <row r="44" spans="1:14" ht="15.75" customHeight="1" x14ac:dyDescent="0.3">
      <c r="A44" s="9"/>
      <c r="B44" s="67" t="s">
        <v>96</v>
      </c>
      <c r="C44" s="77">
        <f t="shared" ref="C44:M44" si="18">IF(C33="","",IF(C24&lt;=0,"-",C14/C24))</f>
        <v>2.0393827749122275</v>
      </c>
      <c r="D44" s="77">
        <f t="shared" si="18"/>
        <v>12.295214125998937</v>
      </c>
      <c r="E44" s="77">
        <f t="shared" si="18"/>
        <v>2.0119574295661091</v>
      </c>
      <c r="F44" s="77">
        <f t="shared" si="18"/>
        <v>3.5532055598307042</v>
      </c>
      <c r="G44" s="77" t="str">
        <f t="shared" si="18"/>
        <v>-</v>
      </c>
      <c r="H44" s="77" t="str">
        <f t="shared" si="18"/>
        <v>-</v>
      </c>
      <c r="I44" s="77">
        <f t="shared" si="18"/>
        <v>8.0096655518394648</v>
      </c>
      <c r="J44" s="77">
        <f t="shared" si="18"/>
        <v>11.527619352771547</v>
      </c>
      <c r="K44" s="77" t="str">
        <f t="shared" si="18"/>
        <v>-</v>
      </c>
      <c r="L44" s="77" t="str">
        <f t="shared" si="18"/>
        <v>-</v>
      </c>
      <c r="M44" s="77" t="str">
        <f t="shared" si="18"/>
        <v/>
      </c>
      <c r="N44" s="6"/>
    </row>
    <row r="45" spans="1:14" ht="15.75" customHeight="1" x14ac:dyDescent="0.3">
      <c r="A45" s="9"/>
      <c r="B45" s="67" t="s">
        <v>97</v>
      </c>
      <c r="C45" s="77">
        <f t="shared" ref="C45:M45" si="19">IF(C31="","",IF(C17&lt;=0,"-",C17/C16))</f>
        <v>2.2489263332100617E-2</v>
      </c>
      <c r="D45" s="77">
        <f t="shared" si="19"/>
        <v>3.7513843423741698E-3</v>
      </c>
      <c r="E45" s="77">
        <f t="shared" si="19"/>
        <v>3.0836594000372648E-2</v>
      </c>
      <c r="F45" s="77" t="str">
        <f t="shared" si="19"/>
        <v>-</v>
      </c>
      <c r="G45" s="77" t="str">
        <f t="shared" si="19"/>
        <v>-</v>
      </c>
      <c r="H45" s="77" t="str">
        <f t="shared" si="19"/>
        <v>-</v>
      </c>
      <c r="I45" s="77" t="str">
        <f t="shared" si="19"/>
        <v>-</v>
      </c>
      <c r="J45" s="77" t="str">
        <f t="shared" si="19"/>
        <v>-</v>
      </c>
      <c r="K45" s="77" t="str">
        <f t="shared" si="19"/>
        <v>-</v>
      </c>
      <c r="L45" s="77" t="str">
        <f t="shared" si="19"/>
        <v/>
      </c>
      <c r="M45" s="77" t="str">
        <f t="shared" si="19"/>
        <v/>
      </c>
      <c r="N45" s="6"/>
    </row>
    <row r="46" spans="1:14" ht="15.75" customHeight="1" x14ac:dyDescent="0.3">
      <c r="A46" s="9"/>
      <c r="B46" s="69" t="s">
        <v>98</v>
      </c>
      <c r="C46" s="78">
        <f t="shared" ref="C46:M46" si="20">IF(C33="","",C20/C21)</f>
        <v>10.970135925096013</v>
      </c>
      <c r="D46" s="78">
        <f t="shared" si="20"/>
        <v>4.4286470964394731</v>
      </c>
      <c r="E46" s="78">
        <f t="shared" si="20"/>
        <v>6.8209832459686055</v>
      </c>
      <c r="F46" s="78">
        <f t="shared" si="20"/>
        <v>8.0083071161760646</v>
      </c>
      <c r="G46" s="78">
        <f t="shared" si="20"/>
        <v>4.1898137891535914</v>
      </c>
      <c r="H46" s="78">
        <f t="shared" si="20"/>
        <v>1.0673809323366144</v>
      </c>
      <c r="I46" s="78">
        <f t="shared" si="20"/>
        <v>7.5420617343760812</v>
      </c>
      <c r="J46" s="78">
        <f t="shared" si="20"/>
        <v>6.6628981383610268</v>
      </c>
      <c r="K46" s="78">
        <f t="shared" si="20"/>
        <v>7.6335663502402991</v>
      </c>
      <c r="L46" s="78">
        <f t="shared" si="20"/>
        <v>6.600827386648783</v>
      </c>
      <c r="M46" s="78" t="str">
        <f t="shared" si="20"/>
        <v/>
      </c>
      <c r="N46" s="6"/>
    </row>
    <row r="47" spans="1:14" ht="15.75" customHeight="1" x14ac:dyDescent="0.3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 x14ac:dyDescent="0.3">
      <c r="A48" s="9"/>
      <c r="B48" s="24" t="s">
        <v>99</v>
      </c>
      <c r="C48" s="79"/>
      <c r="D48" s="79"/>
      <c r="E48" s="79"/>
      <c r="F48" s="79"/>
    </row>
    <row r="49" spans="1:6" ht="15.75" customHeight="1" x14ac:dyDescent="0.3">
      <c r="A49" s="9"/>
      <c r="B49" s="6" t="s">
        <v>100</v>
      </c>
      <c r="C49" s="6"/>
      <c r="D49" s="355">
        <v>0</v>
      </c>
      <c r="E49" s="356"/>
      <c r="F49" s="6"/>
    </row>
    <row r="50" spans="1:6" ht="15" customHeight="1" x14ac:dyDescent="0.3">
      <c r="A50" s="9"/>
      <c r="B50" s="80" t="s">
        <v>101</v>
      </c>
      <c r="C50" s="6"/>
      <c r="D50" s="350" t="s">
        <v>102</v>
      </c>
      <c r="E50" s="316"/>
      <c r="F50" s="6"/>
    </row>
    <row r="51" spans="1:6" ht="15" customHeight="1" x14ac:dyDescent="0.3">
      <c r="A51" s="9"/>
      <c r="B51" s="80"/>
      <c r="D51" s="26"/>
      <c r="E51" s="26"/>
    </row>
    <row r="52" spans="1:6" ht="15.75" customHeight="1" x14ac:dyDescent="0.3">
      <c r="A52" s="9"/>
      <c r="B52" s="81" t="s">
        <v>103</v>
      </c>
      <c r="C52" s="82"/>
      <c r="D52" s="351">
        <v>5</v>
      </c>
      <c r="E52" s="352"/>
      <c r="F52" s="83"/>
    </row>
    <row r="53" spans="1:6" ht="15.75" customHeight="1" x14ac:dyDescent="0.3">
      <c r="A53" s="9"/>
      <c r="B53" s="84" t="s">
        <v>104</v>
      </c>
      <c r="C53" s="85" t="s">
        <v>105</v>
      </c>
      <c r="D53" s="353" t="s">
        <v>106</v>
      </c>
      <c r="E53" s="354"/>
      <c r="F53" s="86" t="s">
        <v>107</v>
      </c>
    </row>
    <row r="54" spans="1:6" ht="15.75" customHeight="1" x14ac:dyDescent="0.3">
      <c r="A54" s="9"/>
      <c r="B54" s="87" t="str">
        <f>C6</f>
        <v>FY 2021</v>
      </c>
      <c r="C54" s="88"/>
      <c r="D54" s="89">
        <f>1</f>
        <v>1</v>
      </c>
      <c r="E54" s="90">
        <f t="shared" ref="E54:E64" si="21">C54*D54</f>
        <v>0</v>
      </c>
      <c r="F54" s="91">
        <v>0</v>
      </c>
    </row>
    <row r="55" spans="1:6" ht="15.75" customHeight="1" x14ac:dyDescent="0.3">
      <c r="A55" s="9"/>
      <c r="B55" s="92">
        <f>IF(D7="","",-1)</f>
        <v>-1</v>
      </c>
      <c r="C55" s="88"/>
      <c r="D55" s="89">
        <f t="shared" ref="D55:D64" si="22">IF(B55&lt;0,(D$52+B55)/D$52,0)</f>
        <v>0.8</v>
      </c>
      <c r="E55" s="90">
        <f t="shared" si="21"/>
        <v>0</v>
      </c>
      <c r="F55" s="91">
        <f t="shared" ref="F55:F64" si="23">IF(B55&lt;0,C55/$D$52,0)</f>
        <v>0</v>
      </c>
    </row>
    <row r="56" spans="1:6" ht="15.75" customHeight="1" x14ac:dyDescent="0.3">
      <c r="A56" s="9"/>
      <c r="B56" s="92">
        <f t="shared" ref="B56:B64" si="24">IF((0-B55)&lt;$D$52,IF(B55&gt;-1, ,B55-1), )</f>
        <v>-2</v>
      </c>
      <c r="C56" s="88"/>
      <c r="D56" s="89">
        <f t="shared" si="22"/>
        <v>0.6</v>
      </c>
      <c r="E56" s="90">
        <f t="shared" si="21"/>
        <v>0</v>
      </c>
      <c r="F56" s="91">
        <f t="shared" si="23"/>
        <v>0</v>
      </c>
    </row>
    <row r="57" spans="1:6" ht="15.75" customHeight="1" x14ac:dyDescent="0.3">
      <c r="A57" s="9"/>
      <c r="B57" s="92">
        <f t="shared" si="24"/>
        <v>-3</v>
      </c>
      <c r="C57" s="88"/>
      <c r="D57" s="89">
        <f t="shared" si="22"/>
        <v>0.4</v>
      </c>
      <c r="E57" s="90">
        <f t="shared" si="21"/>
        <v>0</v>
      </c>
      <c r="F57" s="91">
        <f t="shared" si="23"/>
        <v>0</v>
      </c>
    </row>
    <row r="58" spans="1:6" ht="15.75" customHeight="1" x14ac:dyDescent="0.3">
      <c r="A58" s="9"/>
      <c r="B58" s="92">
        <f t="shared" si="24"/>
        <v>-4</v>
      </c>
      <c r="C58" s="88"/>
      <c r="D58" s="89">
        <f t="shared" si="22"/>
        <v>0.2</v>
      </c>
      <c r="E58" s="90">
        <f t="shared" si="21"/>
        <v>0</v>
      </c>
      <c r="F58" s="91">
        <f t="shared" si="23"/>
        <v>0</v>
      </c>
    </row>
    <row r="59" spans="1:6" ht="15.75" customHeight="1" x14ac:dyDescent="0.3">
      <c r="A59" s="9"/>
      <c r="B59" s="92">
        <f t="shared" si="24"/>
        <v>-5</v>
      </c>
      <c r="C59" s="88"/>
      <c r="D59" s="89">
        <f t="shared" si="22"/>
        <v>0</v>
      </c>
      <c r="E59" s="90">
        <f t="shared" si="21"/>
        <v>0</v>
      </c>
      <c r="F59" s="91">
        <f t="shared" si="23"/>
        <v>0</v>
      </c>
    </row>
    <row r="60" spans="1:6" ht="15.75" customHeight="1" x14ac:dyDescent="0.3">
      <c r="A60" s="9"/>
      <c r="B60" s="92">
        <f t="shared" si="24"/>
        <v>0</v>
      </c>
      <c r="C60" s="88"/>
      <c r="D60" s="89">
        <f t="shared" si="22"/>
        <v>0</v>
      </c>
      <c r="E60" s="90">
        <f t="shared" si="21"/>
        <v>0</v>
      </c>
      <c r="F60" s="91">
        <f t="shared" si="23"/>
        <v>0</v>
      </c>
    </row>
    <row r="61" spans="1:6" ht="15.75" customHeight="1" x14ac:dyDescent="0.3">
      <c r="A61" s="9"/>
      <c r="B61" s="92">
        <f t="shared" si="24"/>
        <v>0</v>
      </c>
      <c r="C61" s="88"/>
      <c r="D61" s="89">
        <f t="shared" si="22"/>
        <v>0</v>
      </c>
      <c r="E61" s="90">
        <f t="shared" si="21"/>
        <v>0</v>
      </c>
      <c r="F61" s="91">
        <f t="shared" si="23"/>
        <v>0</v>
      </c>
    </row>
    <row r="62" spans="1:6" ht="15.75" customHeight="1" x14ac:dyDescent="0.3">
      <c r="A62" s="9"/>
      <c r="B62" s="92">
        <f t="shared" si="24"/>
        <v>0</v>
      </c>
      <c r="C62" s="88"/>
      <c r="D62" s="89">
        <f t="shared" si="22"/>
        <v>0</v>
      </c>
      <c r="E62" s="90">
        <f t="shared" si="21"/>
        <v>0</v>
      </c>
      <c r="F62" s="91">
        <f t="shared" si="23"/>
        <v>0</v>
      </c>
    </row>
    <row r="63" spans="1:6" ht="15.75" customHeight="1" x14ac:dyDescent="0.3">
      <c r="A63" s="9"/>
      <c r="B63" s="92">
        <f t="shared" si="24"/>
        <v>0</v>
      </c>
      <c r="C63" s="88"/>
      <c r="D63" s="89">
        <f t="shared" si="22"/>
        <v>0</v>
      </c>
      <c r="E63" s="90">
        <f t="shared" si="21"/>
        <v>0</v>
      </c>
      <c r="F63" s="91">
        <f t="shared" si="23"/>
        <v>0</v>
      </c>
    </row>
    <row r="64" spans="1:6" ht="15.75" customHeight="1" x14ac:dyDescent="0.3">
      <c r="A64" s="9"/>
      <c r="B64" s="92">
        <f t="shared" si="24"/>
        <v>0</v>
      </c>
      <c r="C64" s="88"/>
      <c r="D64" s="89">
        <f t="shared" si="22"/>
        <v>0</v>
      </c>
      <c r="E64" s="90">
        <f t="shared" si="21"/>
        <v>0</v>
      </c>
      <c r="F64" s="91">
        <f t="shared" si="23"/>
        <v>0</v>
      </c>
    </row>
    <row r="65" spans="1:6" ht="15.75" customHeight="1" x14ac:dyDescent="0.3">
      <c r="A65" s="9"/>
      <c r="B65" s="93" t="s">
        <v>108</v>
      </c>
      <c r="C65" s="80"/>
      <c r="D65" s="80"/>
      <c r="E65" s="90">
        <f>SUM(E54:E64)</f>
        <v>0</v>
      </c>
      <c r="F65" s="94"/>
    </row>
    <row r="66" spans="1:6" ht="15.75" customHeight="1" x14ac:dyDescent="0.3">
      <c r="A66" s="9"/>
      <c r="B66" s="93" t="s">
        <v>109</v>
      </c>
      <c r="C66" s="80"/>
      <c r="D66" s="80"/>
      <c r="E66" s="80"/>
      <c r="F66" s="91">
        <f>SUM(F55:F64)</f>
        <v>0</v>
      </c>
    </row>
    <row r="67" spans="1:6" ht="15.75" customHeight="1" x14ac:dyDescent="0.3">
      <c r="A67" s="9"/>
      <c r="B67" s="93"/>
      <c r="C67" s="80"/>
      <c r="D67" s="80"/>
      <c r="E67" s="80"/>
      <c r="F67" s="94"/>
    </row>
    <row r="68" spans="1:6" ht="15.75" customHeight="1" x14ac:dyDescent="0.3">
      <c r="A68" s="9"/>
      <c r="B68" s="95"/>
      <c r="C68" s="96" t="s">
        <v>110</v>
      </c>
      <c r="D68" s="96" t="s">
        <v>111</v>
      </c>
      <c r="E68" s="97" t="s">
        <v>112</v>
      </c>
      <c r="F68" s="98" t="s">
        <v>113</v>
      </c>
    </row>
    <row r="69" spans="1:6" ht="15.75" customHeight="1" x14ac:dyDescent="0.3">
      <c r="A69" s="9"/>
      <c r="B69" s="93" t="s">
        <v>114</v>
      </c>
      <c r="C69" s="99">
        <f>C14</f>
        <v>235253</v>
      </c>
      <c r="D69" s="99">
        <f>C69+C54-F66</f>
        <v>235253</v>
      </c>
      <c r="E69" s="80" t="s">
        <v>115</v>
      </c>
      <c r="F69" s="94" t="s">
        <v>116</v>
      </c>
    </row>
    <row r="70" spans="1:6" ht="15.75" customHeight="1" x14ac:dyDescent="0.3">
      <c r="A70" s="9"/>
      <c r="B70" s="93" t="s">
        <v>117</v>
      </c>
      <c r="C70" s="100">
        <f t="shared" ref="C70:D70" si="25">C69/$C$7</f>
        <v>0.1835549358677766</v>
      </c>
      <c r="D70" s="100">
        <f t="shared" si="25"/>
        <v>0.1835549358677766</v>
      </c>
      <c r="E70" s="80" t="s">
        <v>118</v>
      </c>
      <c r="F70" s="94" t="s">
        <v>119</v>
      </c>
    </row>
    <row r="71" spans="1:6" ht="15.75" customHeight="1" x14ac:dyDescent="0.3">
      <c r="A71" s="9"/>
      <c r="B71" s="93" t="s">
        <v>120</v>
      </c>
      <c r="C71" s="99">
        <f>C31</f>
        <v>23465</v>
      </c>
      <c r="D71" s="99">
        <f>C71+E65-F66</f>
        <v>23465</v>
      </c>
      <c r="E71" s="80" t="s">
        <v>121</v>
      </c>
      <c r="F71" s="94" t="s">
        <v>122</v>
      </c>
    </row>
    <row r="72" spans="1:6" ht="15.75" customHeight="1" x14ac:dyDescent="0.3">
      <c r="A72" s="9"/>
      <c r="B72" s="93" t="s">
        <v>123</v>
      </c>
      <c r="C72" s="99">
        <f>C16</f>
        <v>176439.75</v>
      </c>
      <c r="D72" s="99">
        <f>C72+C55</f>
        <v>176439.75</v>
      </c>
      <c r="E72" s="80" t="s">
        <v>124</v>
      </c>
      <c r="F72" s="94" t="s">
        <v>125</v>
      </c>
    </row>
    <row r="73" spans="1:6" ht="15.75" customHeight="1" x14ac:dyDescent="0.3">
      <c r="A73" s="9"/>
      <c r="B73" s="93" t="s">
        <v>126</v>
      </c>
      <c r="C73" s="99">
        <f>F3</f>
        <v>457813</v>
      </c>
      <c r="D73" s="99">
        <f>C73+C54-F66</f>
        <v>457813</v>
      </c>
      <c r="E73" s="80" t="s">
        <v>127</v>
      </c>
      <c r="F73" s="94" t="s">
        <v>125</v>
      </c>
    </row>
    <row r="74" spans="1:6" ht="15.75" customHeight="1" x14ac:dyDescent="0.3">
      <c r="A74" s="9"/>
      <c r="B74" s="101" t="s">
        <v>128</v>
      </c>
      <c r="C74" s="102">
        <f>C33</f>
        <v>3160925</v>
      </c>
      <c r="D74" s="102">
        <f>C74+E65</f>
        <v>3160925</v>
      </c>
      <c r="E74" s="8" t="s">
        <v>129</v>
      </c>
      <c r="F74" s="103" t="s">
        <v>125</v>
      </c>
    </row>
    <row r="75" spans="1:6" ht="15.75" customHeight="1" x14ac:dyDescent="0.3">
      <c r="A75" s="9"/>
      <c r="B75" s="80"/>
      <c r="C75" s="104"/>
      <c r="D75" s="104"/>
    </row>
    <row r="76" spans="1:6" ht="15.75" customHeight="1" x14ac:dyDescent="0.3">
      <c r="A76" s="9"/>
      <c r="B76" s="80"/>
      <c r="C76" s="104"/>
      <c r="D76" s="104"/>
    </row>
    <row r="77" spans="1:6" ht="15.75" customHeight="1" x14ac:dyDescent="0.3">
      <c r="A77" s="9"/>
      <c r="B77" s="80"/>
      <c r="C77" s="104"/>
      <c r="D77" s="104"/>
    </row>
    <row r="78" spans="1:6" ht="15.75" customHeight="1" x14ac:dyDescent="0.3">
      <c r="A78" s="9"/>
      <c r="B78" s="80"/>
      <c r="C78" s="105"/>
      <c r="D78" s="105"/>
    </row>
    <row r="79" spans="1:6" ht="15.75" customHeight="1" x14ac:dyDescent="0.3">
      <c r="A79" s="9"/>
      <c r="B79" s="80"/>
      <c r="C79" s="104"/>
      <c r="D79" s="104"/>
    </row>
    <row r="80" spans="1:6" ht="15.75" customHeight="1" x14ac:dyDescent="0.3">
      <c r="A80" s="9"/>
      <c r="B80" s="80"/>
      <c r="C80" s="105"/>
      <c r="D80" s="105"/>
    </row>
    <row r="81" spans="1:1" ht="15.75" customHeight="1" x14ac:dyDescent="0.3">
      <c r="A81" s="9"/>
    </row>
    <row r="82" spans="1:1" ht="15.75" customHeight="1" x14ac:dyDescent="0.3">
      <c r="A82" s="9"/>
    </row>
    <row r="83" spans="1:1" ht="15.75" customHeight="1" x14ac:dyDescent="0.3">
      <c r="A83" s="9"/>
    </row>
    <row r="84" spans="1:1" ht="15.75" customHeight="1" x14ac:dyDescent="0.3">
      <c r="A84" s="9"/>
    </row>
    <row r="85" spans="1:1" ht="15.75" customHeight="1" x14ac:dyDescent="0.3">
      <c r="A85" s="9"/>
    </row>
    <row r="86" spans="1:1" ht="15.75" customHeight="1" x14ac:dyDescent="0.3">
      <c r="A86" s="9"/>
    </row>
    <row r="87" spans="1:1" ht="15.75" customHeight="1" x14ac:dyDescent="0.3">
      <c r="A87" s="9"/>
    </row>
    <row r="88" spans="1:1" ht="15.75" customHeight="1" x14ac:dyDescent="0.3">
      <c r="A88" s="9"/>
    </row>
    <row r="89" spans="1:1" ht="15.75" customHeight="1" x14ac:dyDescent="0.3">
      <c r="A89" s="9"/>
    </row>
    <row r="90" spans="1:1" ht="15.75" customHeight="1" x14ac:dyDescent="0.3">
      <c r="A90" s="9"/>
    </row>
    <row r="91" spans="1:1" ht="15.75" customHeight="1" x14ac:dyDescent="0.3">
      <c r="A91" s="9"/>
    </row>
    <row r="92" spans="1:1" ht="15.75" customHeight="1" x14ac:dyDescent="0.3">
      <c r="A92" s="9"/>
    </row>
    <row r="93" spans="1:1" ht="15.75" customHeight="1" x14ac:dyDescent="0.3">
      <c r="A93" s="9"/>
    </row>
    <row r="94" spans="1:1" ht="15.75" customHeight="1" x14ac:dyDescent="0.3">
      <c r="A94" s="9"/>
    </row>
    <row r="95" spans="1:1" ht="15.75" customHeight="1" x14ac:dyDescent="0.3">
      <c r="A95" s="9"/>
    </row>
    <row r="96" spans="1:1" ht="15.75" customHeight="1" x14ac:dyDescent="0.3">
      <c r="A96" s="9"/>
    </row>
    <row r="97" spans="1:1" ht="15.75" customHeight="1" x14ac:dyDescent="0.3">
      <c r="A97" s="9"/>
    </row>
    <row r="98" spans="1:1" ht="15.75" customHeight="1" x14ac:dyDescent="0.3">
      <c r="A98" s="9"/>
    </row>
    <row r="99" spans="1:1" ht="15.75" customHeight="1" x14ac:dyDescent="0.3">
      <c r="A99" s="9"/>
    </row>
    <row r="100" spans="1:1" ht="15.75" customHeight="1" x14ac:dyDescent="0.3">
      <c r="A100" s="9"/>
    </row>
    <row r="101" spans="1:1" ht="15.75" customHeight="1" x14ac:dyDescent="0.3">
      <c r="A101" s="9"/>
    </row>
    <row r="102" spans="1:1" ht="15.75" customHeight="1" x14ac:dyDescent="0.3">
      <c r="A102" s="9"/>
    </row>
    <row r="103" spans="1:1" ht="15.75" customHeight="1" x14ac:dyDescent="0.3">
      <c r="A103" s="9"/>
    </row>
    <row r="104" spans="1:1" ht="15.75" customHeight="1" x14ac:dyDescent="0.3">
      <c r="A104" s="9"/>
    </row>
    <row r="105" spans="1:1" ht="15.75" customHeight="1" x14ac:dyDescent="0.3">
      <c r="A105" s="9"/>
    </row>
    <row r="106" spans="1:1" ht="15.75" customHeight="1" x14ac:dyDescent="0.3">
      <c r="A106" s="9"/>
    </row>
    <row r="107" spans="1:1" ht="15.75" customHeight="1" x14ac:dyDescent="0.3">
      <c r="A107" s="9"/>
    </row>
    <row r="108" spans="1:1" ht="15.75" customHeight="1" x14ac:dyDescent="0.3">
      <c r="A108" s="9"/>
    </row>
    <row r="109" spans="1:1" ht="15.75" customHeight="1" x14ac:dyDescent="0.3">
      <c r="A109" s="9"/>
    </row>
    <row r="110" spans="1:1" ht="15.75" customHeight="1" x14ac:dyDescent="0.3">
      <c r="A110" s="9"/>
    </row>
    <row r="111" spans="1:1" ht="15.75" customHeight="1" x14ac:dyDescent="0.3">
      <c r="A111" s="9"/>
    </row>
    <row r="112" spans="1:1" ht="15.75" customHeight="1" x14ac:dyDescent="0.3">
      <c r="A112" s="9"/>
    </row>
    <row r="113" spans="1:1" ht="15.75" customHeight="1" x14ac:dyDescent="0.3">
      <c r="A113" s="9"/>
    </row>
    <row r="114" spans="1:1" ht="15.75" customHeight="1" x14ac:dyDescent="0.3">
      <c r="A114" s="9"/>
    </row>
    <row r="115" spans="1:1" ht="15.75" customHeight="1" x14ac:dyDescent="0.3">
      <c r="A115" s="9"/>
    </row>
    <row r="116" spans="1:1" ht="15.75" customHeight="1" x14ac:dyDescent="0.3">
      <c r="A116" s="9"/>
    </row>
    <row r="117" spans="1:1" ht="15.75" customHeight="1" x14ac:dyDescent="0.3">
      <c r="A117" s="9"/>
    </row>
    <row r="118" spans="1:1" ht="15.75" customHeight="1" x14ac:dyDescent="0.3">
      <c r="A118" s="9"/>
    </row>
    <row r="119" spans="1:1" ht="15.75" customHeight="1" x14ac:dyDescent="0.3">
      <c r="A119" s="9"/>
    </row>
    <row r="120" spans="1:1" ht="15.75" customHeight="1" x14ac:dyDescent="0.3">
      <c r="A120" s="9"/>
    </row>
    <row r="121" spans="1:1" ht="15.75" customHeight="1" x14ac:dyDescent="0.3">
      <c r="A121" s="9"/>
    </row>
    <row r="122" spans="1:1" ht="15.75" customHeight="1" x14ac:dyDescent="0.3">
      <c r="A122" s="9"/>
    </row>
    <row r="123" spans="1:1" ht="15.75" customHeight="1" x14ac:dyDescent="0.3">
      <c r="A123" s="9"/>
    </row>
    <row r="124" spans="1:1" ht="15.75" customHeight="1" x14ac:dyDescent="0.3">
      <c r="A124" s="9"/>
    </row>
    <row r="125" spans="1:1" ht="15.75" customHeight="1" x14ac:dyDescent="0.3">
      <c r="A125" s="9"/>
    </row>
    <row r="126" spans="1:1" ht="15.75" customHeight="1" x14ac:dyDescent="0.3">
      <c r="A126" s="9"/>
    </row>
    <row r="127" spans="1:1" ht="15.75" customHeight="1" x14ac:dyDescent="0.3">
      <c r="A127" s="9"/>
    </row>
    <row r="128" spans="1:1" ht="15.75" customHeight="1" x14ac:dyDescent="0.3">
      <c r="A128" s="9"/>
    </row>
    <row r="129" spans="1:1" ht="15.75" customHeight="1" x14ac:dyDescent="0.3">
      <c r="A129" s="9"/>
    </row>
    <row r="130" spans="1:1" ht="15.75" customHeight="1" x14ac:dyDescent="0.3">
      <c r="A130" s="9"/>
    </row>
    <row r="131" spans="1:1" ht="15.75" customHeight="1" x14ac:dyDescent="0.3">
      <c r="A131" s="9"/>
    </row>
    <row r="132" spans="1:1" ht="15.75" customHeight="1" x14ac:dyDescent="0.3">
      <c r="A132" s="9"/>
    </row>
    <row r="133" spans="1:1" ht="15.75" customHeight="1" x14ac:dyDescent="0.3">
      <c r="A133" s="9"/>
    </row>
    <row r="134" spans="1:1" ht="15.75" customHeight="1" x14ac:dyDescent="0.3">
      <c r="A134" s="9"/>
    </row>
    <row r="135" spans="1:1" ht="15.75" customHeight="1" x14ac:dyDescent="0.3">
      <c r="A135" s="9"/>
    </row>
    <row r="136" spans="1:1" ht="15.75" customHeight="1" x14ac:dyDescent="0.3">
      <c r="A136" s="9"/>
    </row>
    <row r="137" spans="1:1" ht="15.75" customHeight="1" x14ac:dyDescent="0.3">
      <c r="A137" s="9"/>
    </row>
    <row r="138" spans="1:1" ht="15.75" customHeight="1" x14ac:dyDescent="0.3">
      <c r="A138" s="9"/>
    </row>
    <row r="139" spans="1:1" ht="15.75" customHeight="1" x14ac:dyDescent="0.3">
      <c r="A139" s="9"/>
    </row>
    <row r="140" spans="1:1" ht="15.75" customHeight="1" x14ac:dyDescent="0.3">
      <c r="A140" s="9"/>
    </row>
    <row r="141" spans="1:1" ht="15.75" customHeight="1" x14ac:dyDescent="0.3">
      <c r="A141" s="9"/>
    </row>
    <row r="142" spans="1:1" ht="15.75" customHeight="1" x14ac:dyDescent="0.3">
      <c r="A142" s="9"/>
    </row>
    <row r="143" spans="1:1" ht="15.75" customHeight="1" x14ac:dyDescent="0.3">
      <c r="A143" s="9"/>
    </row>
    <row r="144" spans="1:1" ht="15.75" customHeight="1" x14ac:dyDescent="0.3">
      <c r="A144" s="9"/>
    </row>
    <row r="145" spans="1:1" ht="15.75" customHeight="1" x14ac:dyDescent="0.3">
      <c r="A145" s="9"/>
    </row>
    <row r="146" spans="1:1" ht="15.75" customHeight="1" x14ac:dyDescent="0.3">
      <c r="A146" s="9"/>
    </row>
    <row r="147" spans="1:1" ht="15.75" customHeight="1" x14ac:dyDescent="0.3">
      <c r="A147" s="9"/>
    </row>
    <row r="148" spans="1:1" ht="15.75" customHeight="1" x14ac:dyDescent="0.3">
      <c r="A148" s="9"/>
    </row>
    <row r="149" spans="1:1" ht="15.75" customHeight="1" x14ac:dyDescent="0.3">
      <c r="A149" s="9"/>
    </row>
    <row r="150" spans="1:1" ht="15.75" customHeight="1" x14ac:dyDescent="0.3">
      <c r="A150" s="9"/>
    </row>
    <row r="151" spans="1:1" ht="15.75" customHeight="1" x14ac:dyDescent="0.3">
      <c r="A151" s="9"/>
    </row>
    <row r="152" spans="1:1" ht="15.75" customHeight="1" x14ac:dyDescent="0.3">
      <c r="A152" s="9"/>
    </row>
    <row r="153" spans="1:1" ht="15.75" customHeight="1" x14ac:dyDescent="0.3">
      <c r="A153" s="9"/>
    </row>
    <row r="154" spans="1:1" ht="15.75" customHeight="1" x14ac:dyDescent="0.3">
      <c r="A154" s="9"/>
    </row>
    <row r="155" spans="1:1" ht="15.75" customHeight="1" x14ac:dyDescent="0.3">
      <c r="A155" s="9"/>
    </row>
    <row r="156" spans="1:1" ht="15.75" customHeight="1" x14ac:dyDescent="0.3">
      <c r="A156" s="9"/>
    </row>
    <row r="157" spans="1:1" ht="15.75" customHeight="1" x14ac:dyDescent="0.3">
      <c r="A157" s="9"/>
    </row>
    <row r="158" spans="1:1" ht="15.75" customHeight="1" x14ac:dyDescent="0.3">
      <c r="A158" s="9"/>
    </row>
    <row r="159" spans="1:1" ht="15.75" customHeight="1" x14ac:dyDescent="0.3">
      <c r="A159" s="9"/>
    </row>
    <row r="160" spans="1:1" ht="15.75" customHeight="1" x14ac:dyDescent="0.3">
      <c r="A160" s="9"/>
    </row>
    <row r="161" spans="1:1" ht="15.75" customHeight="1" x14ac:dyDescent="0.3">
      <c r="A161" s="9"/>
    </row>
    <row r="162" spans="1:1" ht="15.75" customHeight="1" x14ac:dyDescent="0.3">
      <c r="A162" s="9"/>
    </row>
    <row r="163" spans="1:1" ht="15.75" customHeight="1" x14ac:dyDescent="0.3">
      <c r="A163" s="9"/>
    </row>
    <row r="164" spans="1:1" ht="15.75" customHeight="1" x14ac:dyDescent="0.3">
      <c r="A164" s="9"/>
    </row>
    <row r="165" spans="1:1" ht="15.75" customHeight="1" x14ac:dyDescent="0.3">
      <c r="A165" s="9"/>
    </row>
    <row r="166" spans="1:1" ht="15.75" customHeight="1" x14ac:dyDescent="0.3">
      <c r="A166" s="9"/>
    </row>
    <row r="167" spans="1:1" ht="15.75" customHeight="1" x14ac:dyDescent="0.3">
      <c r="A167" s="9"/>
    </row>
    <row r="168" spans="1:1" ht="15.75" customHeight="1" x14ac:dyDescent="0.3">
      <c r="A168" s="9"/>
    </row>
    <row r="169" spans="1:1" ht="15.75" customHeight="1" x14ac:dyDescent="0.3">
      <c r="A169" s="9"/>
    </row>
    <row r="170" spans="1:1" ht="15.75" customHeight="1" x14ac:dyDescent="0.3">
      <c r="A170" s="9"/>
    </row>
    <row r="171" spans="1:1" ht="15.75" customHeight="1" x14ac:dyDescent="0.3">
      <c r="A171" s="9"/>
    </row>
    <row r="172" spans="1:1" ht="15.75" customHeight="1" x14ac:dyDescent="0.3">
      <c r="A172" s="9"/>
    </row>
    <row r="173" spans="1:1" ht="15.75" customHeight="1" x14ac:dyDescent="0.3">
      <c r="A173" s="9"/>
    </row>
    <row r="174" spans="1:1" ht="15.75" customHeight="1" x14ac:dyDescent="0.3">
      <c r="A174" s="9"/>
    </row>
    <row r="175" spans="1:1" ht="15.75" customHeight="1" x14ac:dyDescent="0.3">
      <c r="A175" s="9"/>
    </row>
    <row r="176" spans="1:1" ht="15.75" customHeight="1" x14ac:dyDescent="0.3">
      <c r="A176" s="9"/>
    </row>
    <row r="177" spans="1:1" ht="15.75" customHeight="1" x14ac:dyDescent="0.3">
      <c r="A177" s="9"/>
    </row>
    <row r="178" spans="1:1" ht="15.75" customHeight="1" x14ac:dyDescent="0.3">
      <c r="A178" s="9"/>
    </row>
    <row r="179" spans="1:1" ht="15.75" customHeight="1" x14ac:dyDescent="0.3">
      <c r="A179" s="9"/>
    </row>
    <row r="180" spans="1:1" ht="15.75" customHeight="1" x14ac:dyDescent="0.3">
      <c r="A180" s="9"/>
    </row>
    <row r="181" spans="1:1" ht="15.75" customHeight="1" x14ac:dyDescent="0.3">
      <c r="A181" s="9"/>
    </row>
    <row r="182" spans="1:1" ht="15.75" customHeight="1" x14ac:dyDescent="0.3">
      <c r="A182" s="9"/>
    </row>
    <row r="183" spans="1:1" ht="15.75" customHeight="1" x14ac:dyDescent="0.3">
      <c r="A183" s="9"/>
    </row>
    <row r="184" spans="1:1" ht="15.75" customHeight="1" x14ac:dyDescent="0.3">
      <c r="A184" s="9"/>
    </row>
    <row r="185" spans="1:1" ht="15.75" customHeight="1" x14ac:dyDescent="0.3">
      <c r="A185" s="9"/>
    </row>
    <row r="186" spans="1:1" ht="15.75" customHeight="1" x14ac:dyDescent="0.3">
      <c r="A186" s="9"/>
    </row>
    <row r="187" spans="1:1" ht="15.75" customHeight="1" x14ac:dyDescent="0.3">
      <c r="A187" s="9"/>
    </row>
    <row r="188" spans="1:1" ht="15.75" customHeight="1" x14ac:dyDescent="0.3">
      <c r="A188" s="9"/>
    </row>
    <row r="189" spans="1:1" ht="15.75" customHeight="1" x14ac:dyDescent="0.3">
      <c r="A189" s="9"/>
    </row>
    <row r="190" spans="1:1" ht="15.75" customHeight="1" x14ac:dyDescent="0.3">
      <c r="A190" s="9"/>
    </row>
    <row r="191" spans="1:1" ht="15.75" customHeight="1" x14ac:dyDescent="0.3">
      <c r="A191" s="9"/>
    </row>
    <row r="192" spans="1:1" ht="15.75" customHeight="1" x14ac:dyDescent="0.3">
      <c r="A192" s="9"/>
    </row>
    <row r="193" spans="1:1" ht="15.75" customHeight="1" x14ac:dyDescent="0.3">
      <c r="A193" s="9"/>
    </row>
    <row r="194" spans="1:1" ht="15.75" customHeight="1" x14ac:dyDescent="0.3">
      <c r="A194" s="9"/>
    </row>
    <row r="195" spans="1:1" ht="15.75" customHeight="1" x14ac:dyDescent="0.3">
      <c r="A195" s="9"/>
    </row>
    <row r="196" spans="1:1" ht="15.75" customHeight="1" x14ac:dyDescent="0.3">
      <c r="A196" s="9"/>
    </row>
    <row r="197" spans="1:1" ht="15.75" customHeight="1" x14ac:dyDescent="0.3">
      <c r="A197" s="9"/>
    </row>
    <row r="198" spans="1:1" ht="15.75" customHeight="1" x14ac:dyDescent="0.3">
      <c r="A198" s="9"/>
    </row>
    <row r="199" spans="1:1" ht="15.75" customHeight="1" x14ac:dyDescent="0.3">
      <c r="A199" s="9"/>
    </row>
    <row r="200" spans="1:1" ht="15.75" customHeight="1" x14ac:dyDescent="0.3">
      <c r="A200" s="9"/>
    </row>
    <row r="201" spans="1:1" ht="15.75" customHeight="1" x14ac:dyDescent="0.3">
      <c r="A201" s="9"/>
    </row>
    <row r="202" spans="1:1" ht="15.75" customHeight="1" x14ac:dyDescent="0.3">
      <c r="A202" s="9"/>
    </row>
    <row r="203" spans="1:1" ht="15.75" customHeight="1" x14ac:dyDescent="0.3">
      <c r="A203" s="9"/>
    </row>
    <row r="204" spans="1:1" ht="15.75" customHeight="1" x14ac:dyDescent="0.3">
      <c r="A204" s="9"/>
    </row>
    <row r="205" spans="1:1" ht="15.75" customHeight="1" x14ac:dyDescent="0.3">
      <c r="A205" s="9"/>
    </row>
    <row r="206" spans="1:1" ht="15.75" customHeight="1" x14ac:dyDescent="0.3">
      <c r="A206" s="9"/>
    </row>
    <row r="207" spans="1:1" ht="15.75" customHeight="1" x14ac:dyDescent="0.3">
      <c r="A207" s="9"/>
    </row>
    <row r="208" spans="1:1" ht="15.75" customHeight="1" x14ac:dyDescent="0.3">
      <c r="A208" s="9"/>
    </row>
    <row r="209" spans="1:1" ht="15.75" customHeight="1" x14ac:dyDescent="0.3">
      <c r="A209" s="9"/>
    </row>
    <row r="210" spans="1:1" ht="15.75" customHeight="1" x14ac:dyDescent="0.3">
      <c r="A210" s="9"/>
    </row>
    <row r="211" spans="1:1" ht="15.75" customHeight="1" x14ac:dyDescent="0.3">
      <c r="A211" s="9"/>
    </row>
    <row r="212" spans="1:1" ht="15.75" customHeight="1" x14ac:dyDescent="0.3">
      <c r="A212" s="9"/>
    </row>
    <row r="213" spans="1:1" ht="15.75" customHeight="1" x14ac:dyDescent="0.3">
      <c r="A213" s="9"/>
    </row>
    <row r="214" spans="1:1" ht="15.75" customHeight="1" x14ac:dyDescent="0.3">
      <c r="A214" s="9"/>
    </row>
    <row r="215" spans="1:1" ht="15.75" customHeight="1" x14ac:dyDescent="0.3">
      <c r="A215" s="9"/>
    </row>
    <row r="216" spans="1:1" ht="15.75" customHeight="1" x14ac:dyDescent="0.3">
      <c r="A216" s="9"/>
    </row>
    <row r="217" spans="1:1" ht="15.75" customHeight="1" x14ac:dyDescent="0.3">
      <c r="A217" s="9"/>
    </row>
    <row r="218" spans="1:1" ht="15.75" customHeight="1" x14ac:dyDescent="0.3">
      <c r="A218" s="9"/>
    </row>
    <row r="219" spans="1:1" ht="15.75" customHeight="1" x14ac:dyDescent="0.3">
      <c r="A219" s="9"/>
    </row>
    <row r="220" spans="1:1" ht="15.75" customHeight="1" x14ac:dyDescent="0.3">
      <c r="A220" s="9"/>
    </row>
    <row r="221" spans="1:1" ht="15.75" customHeight="1" x14ac:dyDescent="0.3">
      <c r="A221" s="9"/>
    </row>
    <row r="222" spans="1:1" ht="15.75" customHeight="1" x14ac:dyDescent="0.3">
      <c r="A222" s="9"/>
    </row>
    <row r="223" spans="1:1" ht="15.75" customHeight="1" x14ac:dyDescent="0.3">
      <c r="A223" s="9"/>
    </row>
    <row r="224" spans="1:1" ht="15.75" customHeight="1" x14ac:dyDescent="0.3">
      <c r="A224" s="9"/>
    </row>
    <row r="225" spans="1:1" ht="15.75" customHeight="1" x14ac:dyDescent="0.3">
      <c r="A225" s="9"/>
    </row>
    <row r="226" spans="1:1" ht="15.75" customHeight="1" x14ac:dyDescent="0.3">
      <c r="A226" s="9"/>
    </row>
    <row r="227" spans="1:1" ht="15.75" customHeight="1" x14ac:dyDescent="0.3">
      <c r="A227" s="9"/>
    </row>
    <row r="228" spans="1:1" ht="15.75" customHeight="1" x14ac:dyDescent="0.3">
      <c r="A228" s="9"/>
    </row>
    <row r="229" spans="1:1" ht="15.75" customHeight="1" x14ac:dyDescent="0.3">
      <c r="A229" s="9"/>
    </row>
    <row r="230" spans="1:1" ht="15.75" customHeight="1" x14ac:dyDescent="0.3">
      <c r="A230" s="9"/>
    </row>
    <row r="231" spans="1:1" ht="15.75" customHeight="1" x14ac:dyDescent="0.3">
      <c r="A231" s="9"/>
    </row>
    <row r="232" spans="1:1" ht="15.75" customHeight="1" x14ac:dyDescent="0.3">
      <c r="A232" s="9"/>
    </row>
    <row r="233" spans="1:1" ht="15.75" customHeight="1" x14ac:dyDescent="0.3">
      <c r="A233" s="9"/>
    </row>
    <row r="234" spans="1:1" ht="15.75" customHeight="1" x14ac:dyDescent="0.3">
      <c r="A234" s="9"/>
    </row>
    <row r="235" spans="1:1" ht="15.75" customHeight="1" x14ac:dyDescent="0.3">
      <c r="A235" s="9"/>
    </row>
    <row r="236" spans="1:1" ht="15.75" customHeight="1" x14ac:dyDescent="0.3">
      <c r="A236" s="9"/>
    </row>
    <row r="237" spans="1:1" ht="15.75" customHeight="1" x14ac:dyDescent="0.3">
      <c r="A237" s="9"/>
    </row>
    <row r="238" spans="1:1" ht="15.75" customHeight="1" x14ac:dyDescent="0.3">
      <c r="A238" s="9"/>
    </row>
    <row r="239" spans="1:1" ht="15.75" customHeight="1" x14ac:dyDescent="0.3">
      <c r="A239" s="9"/>
    </row>
    <row r="240" spans="1:1" ht="15.75" customHeight="1" x14ac:dyDescent="0.3">
      <c r="A240" s="9"/>
    </row>
    <row r="241" spans="1:1" ht="15.75" customHeight="1" x14ac:dyDescent="0.3">
      <c r="A241" s="9"/>
    </row>
    <row r="242" spans="1:1" ht="15.75" customHeight="1" x14ac:dyDescent="0.3">
      <c r="A242" s="9"/>
    </row>
    <row r="243" spans="1:1" ht="15.75" customHeight="1" x14ac:dyDescent="0.3">
      <c r="A243" s="9"/>
    </row>
    <row r="244" spans="1:1" ht="15.75" customHeight="1" x14ac:dyDescent="0.3">
      <c r="A244" s="9"/>
    </row>
    <row r="245" spans="1:1" ht="15.75" customHeight="1" x14ac:dyDescent="0.3">
      <c r="A245" s="9"/>
    </row>
    <row r="246" spans="1:1" ht="15.75" customHeight="1" x14ac:dyDescent="0.3">
      <c r="A246" s="9"/>
    </row>
    <row r="247" spans="1:1" ht="15.75" customHeight="1" x14ac:dyDescent="0.3">
      <c r="A247" s="9"/>
    </row>
    <row r="248" spans="1:1" ht="15.75" customHeight="1" x14ac:dyDescent="0.3">
      <c r="A248" s="9"/>
    </row>
    <row r="249" spans="1:1" ht="15.75" customHeight="1" x14ac:dyDescent="0.3">
      <c r="A249" s="9"/>
    </row>
    <row r="250" spans="1:1" ht="15.75" customHeight="1" x14ac:dyDescent="0.3">
      <c r="A250" s="9"/>
    </row>
    <row r="251" spans="1:1" ht="15.75" customHeight="1" x14ac:dyDescent="0.3">
      <c r="A251" s="9"/>
    </row>
    <row r="252" spans="1:1" ht="15.75" customHeight="1" x14ac:dyDescent="0.3">
      <c r="A252" s="9"/>
    </row>
    <row r="253" spans="1:1" ht="15.75" customHeight="1" x14ac:dyDescent="0.3">
      <c r="A253" s="9"/>
    </row>
    <row r="254" spans="1:1" ht="15.75" customHeight="1" x14ac:dyDescent="0.3">
      <c r="A254" s="9"/>
    </row>
    <row r="255" spans="1:1" ht="15.75" customHeight="1" x14ac:dyDescent="0.3">
      <c r="A255" s="9"/>
    </row>
    <row r="256" spans="1:1" ht="15.75" customHeight="1" x14ac:dyDescent="0.3">
      <c r="A256" s="9"/>
    </row>
    <row r="257" spans="1:1" ht="15.75" customHeight="1" x14ac:dyDescent="0.3">
      <c r="A257" s="9"/>
    </row>
    <row r="258" spans="1:1" ht="15.75" customHeight="1" x14ac:dyDescent="0.3">
      <c r="A258" s="9"/>
    </row>
    <row r="259" spans="1:1" ht="15.75" customHeight="1" x14ac:dyDescent="0.3">
      <c r="A259" s="9"/>
    </row>
    <row r="260" spans="1:1" ht="15.75" customHeight="1" x14ac:dyDescent="0.3">
      <c r="A260" s="9"/>
    </row>
    <row r="261" spans="1:1" ht="15.75" customHeight="1" x14ac:dyDescent="0.3">
      <c r="A261" s="9"/>
    </row>
    <row r="262" spans="1:1" ht="15.75" customHeight="1" x14ac:dyDescent="0.3">
      <c r="A262" s="9"/>
    </row>
    <row r="263" spans="1:1" ht="15.75" customHeight="1" x14ac:dyDescent="0.3">
      <c r="A263" s="9"/>
    </row>
    <row r="264" spans="1:1" ht="15.75" customHeight="1" x14ac:dyDescent="0.3">
      <c r="A264" s="9"/>
    </row>
    <row r="265" spans="1:1" ht="15.75" customHeight="1" x14ac:dyDescent="0.3">
      <c r="A265" s="9"/>
    </row>
    <row r="266" spans="1:1" ht="15.75" customHeight="1" x14ac:dyDescent="0.3">
      <c r="A266" s="9"/>
    </row>
    <row r="267" spans="1:1" ht="15.75" customHeight="1" x14ac:dyDescent="0.3">
      <c r="A267" s="9"/>
    </row>
    <row r="268" spans="1:1" ht="15.75" customHeight="1" x14ac:dyDescent="0.3">
      <c r="A268" s="9"/>
    </row>
    <row r="269" spans="1:1" ht="15.75" customHeight="1" x14ac:dyDescent="0.3">
      <c r="A269" s="9"/>
    </row>
    <row r="270" spans="1:1" ht="15.75" customHeight="1" x14ac:dyDescent="0.3">
      <c r="A270" s="9"/>
    </row>
    <row r="271" spans="1:1" ht="15.75" customHeight="1" x14ac:dyDescent="0.3">
      <c r="A271" s="9"/>
    </row>
    <row r="272" spans="1:1" ht="15.75" customHeight="1" x14ac:dyDescent="0.3">
      <c r="A272" s="9"/>
    </row>
    <row r="273" spans="1:1" ht="15.75" customHeight="1" x14ac:dyDescent="0.3">
      <c r="A273" s="9"/>
    </row>
    <row r="274" spans="1:1" ht="15.75" customHeight="1" x14ac:dyDescent="0.3">
      <c r="A274" s="9"/>
    </row>
    <row r="275" spans="1:1" ht="15.75" customHeight="1" x14ac:dyDescent="0.3">
      <c r="A275" s="9"/>
    </row>
    <row r="276" spans="1:1" ht="15.75" customHeight="1" x14ac:dyDescent="0.3">
      <c r="A276" s="9"/>
    </row>
    <row r="277" spans="1:1" ht="15.75" customHeight="1" x14ac:dyDescent="0.3">
      <c r="A277" s="9"/>
    </row>
    <row r="278" spans="1:1" ht="15.75" customHeight="1" x14ac:dyDescent="0.3">
      <c r="A278" s="9"/>
    </row>
    <row r="279" spans="1:1" ht="15.75" customHeight="1" x14ac:dyDescent="0.3">
      <c r="A279" s="9"/>
    </row>
    <row r="280" spans="1:1" ht="15.75" customHeight="1" x14ac:dyDescent="0.3">
      <c r="A280" s="9"/>
    </row>
    <row r="281" spans="1:1" ht="15.75" customHeight="1" x14ac:dyDescent="0.3"/>
    <row r="282" spans="1:1" ht="15.75" customHeight="1" x14ac:dyDescent="0.3"/>
    <row r="283" spans="1:1" ht="15.75" customHeight="1" x14ac:dyDescent="0.3"/>
    <row r="284" spans="1:1" ht="15.75" customHeight="1" x14ac:dyDescent="0.3"/>
    <row r="285" spans="1:1" ht="15.75" customHeight="1" x14ac:dyDescent="0.3"/>
    <row r="286" spans="1:1" ht="15.75" customHeight="1" x14ac:dyDescent="0.3"/>
    <row r="287" spans="1:1" ht="15.75" customHeight="1" x14ac:dyDescent="0.3"/>
    <row r="288" spans="1:1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</sheetData>
  <mergeCells count="4">
    <mergeCell ref="D50:E50"/>
    <mergeCell ref="D52:E52"/>
    <mergeCell ref="D53:E53"/>
    <mergeCell ref="D49:E49"/>
  </mergeCells>
  <conditionalFormatting sqref="B52:F74">
    <cfRule type="expression" dxfId="8" priority="1">
      <formula>$D$50="No"</formula>
    </cfRule>
  </conditionalFormatting>
  <conditionalFormatting sqref="D42:M46 C7:M33">
    <cfRule type="containsBlanks" dxfId="7" priority="2">
      <formula>LEN(TRIM(C7))=0</formula>
    </cfRule>
  </conditionalFormatting>
  <conditionalFormatting sqref="D38:M40">
    <cfRule type="containsBlanks" dxfId="6" priority="3">
      <formula>LEN(TRIM(D38))=0</formula>
    </cfRule>
  </conditionalFormatting>
  <conditionalFormatting sqref="C35:M36">
    <cfRule type="containsBlanks" dxfId="5" priority="4">
      <formula>LEN(TRIM(C35))=0</formula>
    </cfRule>
  </conditionalFormatting>
  <dataValidations count="3">
    <dataValidation type="decimal" allowBlank="1" showDropDown="1" sqref="D52" xr:uid="{00000000-0002-0000-0100-000000000000}">
      <formula1>1</formula1>
      <formula2>10</formula2>
    </dataValidation>
    <dataValidation type="decimal" allowBlank="1" showDropDown="1" showErrorMessage="1" sqref="C3" xr:uid="{00000000-0002-0000-0100-000001000000}">
      <formula1>2000</formula1>
      <formula2>2100</formula2>
    </dataValidation>
    <dataValidation type="list" allowBlank="1" sqref="D50" xr:uid="{00000000-0002-0000-0100-000003000000}">
      <formula1>"Yes,No"</formula1>
    </dataValidation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6D7A8"/>
    <outlinePr summaryBelow="0" summaryRight="0"/>
  </sheetPr>
  <dimension ref="A2:I54"/>
  <sheetViews>
    <sheetView showGridLines="0" workbookViewId="0">
      <selection activeCell="C44" sqref="C44"/>
    </sheetView>
  </sheetViews>
  <sheetFormatPr defaultColWidth="12.453125" defaultRowHeight="15" customHeight="1" x14ac:dyDescent="0.3"/>
  <cols>
    <col min="1" max="1" width="2.453125" style="3" customWidth="1"/>
    <col min="2" max="2" width="25.1796875" style="3" customWidth="1"/>
    <col min="3" max="5" width="17.453125" style="3" customWidth="1"/>
    <col min="6" max="6" width="7.453125" style="3" customWidth="1"/>
    <col min="7" max="7" width="17.453125" style="3" customWidth="1"/>
    <col min="8" max="16384" width="12.453125" style="3"/>
  </cols>
  <sheetData>
    <row r="2" spans="1:9" ht="15" customHeight="1" x14ac:dyDescent="0.3">
      <c r="A2" s="4"/>
      <c r="B2" s="358" t="s">
        <v>130</v>
      </c>
      <c r="C2" s="358"/>
      <c r="D2" s="358"/>
      <c r="E2" s="13"/>
      <c r="F2" s="13"/>
      <c r="G2" s="13"/>
      <c r="H2" s="13"/>
    </row>
    <row r="3" spans="1:9" ht="15" customHeight="1" x14ac:dyDescent="0.3">
      <c r="B3" s="5" t="s">
        <v>131</v>
      </c>
      <c r="C3" s="6"/>
      <c r="D3" s="106">
        <f>C39-H39</f>
        <v>4649215</v>
      </c>
      <c r="E3" s="6"/>
      <c r="F3" s="6"/>
      <c r="G3" s="6"/>
      <c r="H3" s="6"/>
    </row>
    <row r="4" spans="1:9" ht="15" customHeight="1" x14ac:dyDescent="0.3">
      <c r="D4" s="6"/>
      <c r="E4" s="26" t="s">
        <v>132</v>
      </c>
      <c r="H4" s="6"/>
    </row>
    <row r="5" spans="1:9" ht="15" customHeight="1" x14ac:dyDescent="0.3">
      <c r="B5" s="107" t="s">
        <v>133</v>
      </c>
      <c r="C5" s="6"/>
      <c r="D5" s="108">
        <f>E39-H39-E43</f>
        <v>3582311.3499999996</v>
      </c>
      <c r="E5" s="15">
        <f>1-D5/D3</f>
        <v>0.22948038539839533</v>
      </c>
      <c r="F5" s="6"/>
      <c r="G5" s="109" t="s">
        <v>134</v>
      </c>
      <c r="H5" s="30">
        <f>IF(Data!F3&lt;=0,"NNI",D6/((Data!F3*Dashboard!H13)/(Dashboard!H5/Data!C4)))</f>
        <v>7.8248353585415877</v>
      </c>
      <c r="I5" s="6"/>
    </row>
    <row r="6" spans="1:9" ht="15" customHeight="1" x14ac:dyDescent="0.3">
      <c r="B6" s="80" t="s">
        <v>135</v>
      </c>
      <c r="D6" s="110">
        <f>(D5*Dashboard!H13*Data!C4)/Dashboard!H5</f>
        <v>1.9495043288434226</v>
      </c>
      <c r="E6" s="111"/>
      <c r="G6" s="109" t="s">
        <v>136</v>
      </c>
      <c r="H6" s="30">
        <f>D6/(Data!C25*Dashboard!H13*Data!C4/Common_Shares)</f>
        <v>0.77051961460160467</v>
      </c>
      <c r="I6" s="6"/>
    </row>
    <row r="7" spans="1:9" ht="15" customHeight="1" x14ac:dyDescent="0.3">
      <c r="D7" s="6"/>
      <c r="H7" s="6"/>
    </row>
    <row r="8" spans="1:9" ht="15" customHeight="1" x14ac:dyDescent="0.3">
      <c r="A8" s="4"/>
      <c r="B8" s="358" t="s">
        <v>137</v>
      </c>
      <c r="C8" s="358"/>
      <c r="D8" s="358"/>
      <c r="E8" s="8"/>
      <c r="F8" s="13"/>
      <c r="G8" s="13"/>
      <c r="H8" s="13"/>
    </row>
    <row r="9" spans="1:9" ht="15" customHeight="1" x14ac:dyDescent="0.3">
      <c r="B9" s="5" t="s">
        <v>138</v>
      </c>
      <c r="C9" s="26" t="s">
        <v>139</v>
      </c>
      <c r="D9" s="26" t="s">
        <v>140</v>
      </c>
      <c r="E9" s="26" t="s">
        <v>141</v>
      </c>
      <c r="F9" s="6"/>
      <c r="G9" s="112" t="s">
        <v>142</v>
      </c>
      <c r="H9" s="26" t="s">
        <v>139</v>
      </c>
    </row>
    <row r="10" spans="1:9" ht="15" customHeight="1" x14ac:dyDescent="0.3">
      <c r="B10" s="5" t="s">
        <v>143</v>
      </c>
      <c r="C10" s="113">
        <v>1603645</v>
      </c>
      <c r="D10" s="114">
        <v>1</v>
      </c>
      <c r="E10" s="34">
        <f>C10*D10</f>
        <v>1603645</v>
      </c>
      <c r="F10" s="6"/>
      <c r="G10" s="5" t="s">
        <v>144</v>
      </c>
      <c r="H10" s="113">
        <v>0</v>
      </c>
      <c r="I10" s="6"/>
    </row>
    <row r="11" spans="1:9" ht="14" x14ac:dyDescent="0.3">
      <c r="B11" s="5" t="s">
        <v>145</v>
      </c>
      <c r="C11" s="113">
        <v>0</v>
      </c>
      <c r="D11" s="114">
        <v>0</v>
      </c>
      <c r="E11" s="34">
        <f t="shared" ref="E11:E17" si="0">C11*D11</f>
        <v>0</v>
      </c>
      <c r="F11" s="6"/>
      <c r="G11" s="5" t="s">
        <v>146</v>
      </c>
      <c r="H11" s="113">
        <v>0</v>
      </c>
      <c r="I11" s="6"/>
    </row>
    <row r="12" spans="1:9" ht="14" x14ac:dyDescent="0.3">
      <c r="B12" s="5" t="s">
        <v>147</v>
      </c>
      <c r="C12" s="113">
        <v>198277</v>
      </c>
      <c r="D12" s="114">
        <v>0.7</v>
      </c>
      <c r="E12" s="34">
        <f t="shared" si="0"/>
        <v>138793.9</v>
      </c>
      <c r="F12" s="6"/>
      <c r="G12" s="5" t="s">
        <v>148</v>
      </c>
      <c r="H12" s="113">
        <v>19158</v>
      </c>
      <c r="I12" s="6"/>
    </row>
    <row r="13" spans="1:9" ht="14" x14ac:dyDescent="0.3">
      <c r="B13" s="5" t="s">
        <v>149</v>
      </c>
      <c r="C13" s="113">
        <v>78011</v>
      </c>
      <c r="D13" s="114">
        <v>0.9</v>
      </c>
      <c r="E13" s="34">
        <f t="shared" si="0"/>
        <v>70209.900000000009</v>
      </c>
      <c r="F13" s="6"/>
      <c r="G13" s="5" t="s">
        <v>150</v>
      </c>
      <c r="H13" s="113">
        <v>163369</v>
      </c>
      <c r="I13" s="6"/>
    </row>
    <row r="14" spans="1:9" ht="14" x14ac:dyDescent="0.3">
      <c r="B14" s="5" t="s">
        <v>151</v>
      </c>
      <c r="C14" s="113">
        <v>26103</v>
      </c>
      <c r="D14" s="114">
        <v>0.8</v>
      </c>
      <c r="E14" s="34">
        <f t="shared" si="0"/>
        <v>20882.400000000001</v>
      </c>
      <c r="F14" s="6"/>
      <c r="G14" s="5" t="s">
        <v>152</v>
      </c>
      <c r="H14" s="113">
        <v>0</v>
      </c>
      <c r="I14" s="6"/>
    </row>
    <row r="15" spans="1:9" ht="14" x14ac:dyDescent="0.3">
      <c r="B15" s="5" t="s">
        <v>153</v>
      </c>
      <c r="C15" s="113">
        <v>96310</v>
      </c>
      <c r="D15" s="114">
        <v>0</v>
      </c>
      <c r="E15" s="34">
        <f t="shared" si="0"/>
        <v>0</v>
      </c>
      <c r="F15" s="6"/>
      <c r="G15" s="5" t="s">
        <v>154</v>
      </c>
      <c r="H15" s="113">
        <v>0</v>
      </c>
      <c r="I15" s="6"/>
    </row>
    <row r="16" spans="1:9" ht="14" x14ac:dyDescent="0.3">
      <c r="B16" s="5" t="s">
        <v>155</v>
      </c>
      <c r="C16" s="113">
        <v>0</v>
      </c>
      <c r="D16" s="114">
        <v>0</v>
      </c>
      <c r="E16" s="34">
        <f t="shared" si="0"/>
        <v>0</v>
      </c>
      <c r="F16" s="6"/>
      <c r="G16" s="5" t="s">
        <v>156</v>
      </c>
      <c r="H16" s="113">
        <v>0</v>
      </c>
      <c r="I16" s="6"/>
    </row>
    <row r="17" spans="2:9" ht="14" x14ac:dyDescent="0.3">
      <c r="B17" s="5" t="s">
        <v>157</v>
      </c>
      <c r="C17" s="113">
        <v>0</v>
      </c>
      <c r="D17" s="114">
        <v>0</v>
      </c>
      <c r="E17" s="34">
        <f t="shared" si="0"/>
        <v>0</v>
      </c>
      <c r="F17" s="6"/>
      <c r="H17" s="6"/>
    </row>
    <row r="18" spans="2:9" ht="15" customHeight="1" x14ac:dyDescent="0.3">
      <c r="C18" s="6"/>
      <c r="D18" s="6"/>
      <c r="E18" s="6"/>
      <c r="H18" s="6"/>
    </row>
    <row r="19" spans="2:9" ht="15" customHeight="1" x14ac:dyDescent="0.3">
      <c r="B19" s="115" t="s">
        <v>158</v>
      </c>
      <c r="C19" s="116">
        <f>SUM(C10:C12)+C14</f>
        <v>1828025</v>
      </c>
      <c r="D19" s="117">
        <f t="shared" ref="D19:D21" si="1">E19/C19</f>
        <v>0.96460458691757489</v>
      </c>
      <c r="E19" s="118">
        <f>SUM(E10:E12)+E14</f>
        <v>1763321.2999999998</v>
      </c>
      <c r="F19" s="6"/>
      <c r="G19" s="115" t="s">
        <v>159</v>
      </c>
      <c r="H19" s="119">
        <f t="shared" ref="H19:H20" si="2">E19/$H$21</f>
        <v>9.6606052803146927</v>
      </c>
      <c r="I19" s="14" t="str">
        <f>IF(H19&lt;1,"Liquidity Problem!","")</f>
        <v/>
      </c>
    </row>
    <row r="20" spans="2:9" ht="15" customHeight="1" x14ac:dyDescent="0.3">
      <c r="B20" s="115" t="s">
        <v>160</v>
      </c>
      <c r="C20" s="116">
        <f>C19+C13</f>
        <v>1906036</v>
      </c>
      <c r="D20" s="117">
        <f t="shared" si="1"/>
        <v>0.96196042467193676</v>
      </c>
      <c r="E20" s="34">
        <f>E19+E13</f>
        <v>1833531.1999999997</v>
      </c>
      <c r="F20" s="6"/>
      <c r="G20" s="115" t="s">
        <v>161</v>
      </c>
      <c r="H20" s="119">
        <f t="shared" si="2"/>
        <v>10.045260153292388</v>
      </c>
      <c r="I20" s="14"/>
    </row>
    <row r="21" spans="2:9" ht="15" customHeight="1" x14ac:dyDescent="0.3">
      <c r="B21" s="5" t="s">
        <v>162</v>
      </c>
      <c r="C21" s="116">
        <f>SUM(C10:C17)</f>
        <v>2002346</v>
      </c>
      <c r="D21" s="15">
        <f t="shared" si="1"/>
        <v>0.91569149387768134</v>
      </c>
      <c r="E21" s="34">
        <f>SUM(E10:E17)</f>
        <v>1833531.1999999997</v>
      </c>
      <c r="F21" s="6"/>
      <c r="G21" s="5" t="s">
        <v>73</v>
      </c>
      <c r="H21" s="116">
        <f>SUM(H10:H16)</f>
        <v>182527</v>
      </c>
      <c r="I21" s="14"/>
    </row>
    <row r="22" spans="2:9" ht="15" customHeight="1" x14ac:dyDescent="0.3">
      <c r="C22" s="6"/>
      <c r="D22" s="6"/>
      <c r="E22" s="6"/>
      <c r="H22" s="6"/>
    </row>
    <row r="23" spans="2:9" ht="15" customHeight="1" x14ac:dyDescent="0.3">
      <c r="B23" s="5" t="s">
        <v>163</v>
      </c>
      <c r="C23" s="113">
        <v>179825</v>
      </c>
      <c r="D23" s="114">
        <v>0.2</v>
      </c>
      <c r="E23" s="34">
        <f t="shared" ref="E23:E31" si="3">C23*D23</f>
        <v>35965</v>
      </c>
      <c r="F23" s="6"/>
      <c r="G23" s="5" t="s">
        <v>164</v>
      </c>
      <c r="H23" s="113">
        <v>77075</v>
      </c>
      <c r="I23" s="6"/>
    </row>
    <row r="24" spans="2:9" ht="15" customHeight="1" x14ac:dyDescent="0.3">
      <c r="B24" s="5" t="s">
        <v>165</v>
      </c>
      <c r="C24" s="113">
        <v>38764</v>
      </c>
      <c r="D24" s="114">
        <v>0.5</v>
      </c>
      <c r="E24" s="34">
        <f t="shared" si="3"/>
        <v>19382</v>
      </c>
      <c r="F24" s="6"/>
      <c r="G24" s="5" t="s">
        <v>166</v>
      </c>
      <c r="H24" s="113">
        <v>19122</v>
      </c>
      <c r="I24" s="6"/>
    </row>
    <row r="25" spans="2:9" ht="15" customHeight="1" x14ac:dyDescent="0.3">
      <c r="B25" s="5" t="s">
        <v>167</v>
      </c>
      <c r="C25" s="113">
        <v>193495</v>
      </c>
      <c r="D25" s="114">
        <v>0.85</v>
      </c>
      <c r="E25" s="34">
        <f t="shared" si="3"/>
        <v>164470.75</v>
      </c>
      <c r="F25" s="6"/>
      <c r="G25" s="5" t="s">
        <v>168</v>
      </c>
      <c r="H25" s="113">
        <v>3972</v>
      </c>
      <c r="I25" s="6"/>
    </row>
    <row r="26" spans="2:9" ht="15" customHeight="1" x14ac:dyDescent="0.3">
      <c r="B26" s="5" t="s">
        <v>169</v>
      </c>
      <c r="C26" s="113">
        <v>654635</v>
      </c>
      <c r="D26" s="114">
        <v>0.8</v>
      </c>
      <c r="E26" s="34">
        <f t="shared" si="3"/>
        <v>523708</v>
      </c>
      <c r="F26" s="6"/>
      <c r="G26" s="5" t="s">
        <v>170</v>
      </c>
      <c r="H26" s="113">
        <v>0</v>
      </c>
      <c r="I26" s="6"/>
    </row>
    <row r="27" spans="2:9" ht="14" x14ac:dyDescent="0.3">
      <c r="B27" s="5" t="s">
        <v>171</v>
      </c>
      <c r="C27" s="113">
        <v>13431</v>
      </c>
      <c r="D27" s="114">
        <v>0.1</v>
      </c>
      <c r="E27" s="34">
        <f t="shared" si="3"/>
        <v>1343.1000000000001</v>
      </c>
      <c r="F27" s="6"/>
      <c r="G27" s="5" t="s">
        <v>172</v>
      </c>
      <c r="H27" s="113">
        <v>377</v>
      </c>
      <c r="I27" s="6"/>
    </row>
    <row r="28" spans="2:9" ht="14" x14ac:dyDescent="0.3">
      <c r="B28" s="5" t="s">
        <v>173</v>
      </c>
      <c r="C28" s="113">
        <v>1838549</v>
      </c>
      <c r="D28" s="114">
        <v>0.7</v>
      </c>
      <c r="E28" s="34">
        <f t="shared" si="3"/>
        <v>1286984.2999999998</v>
      </c>
      <c r="F28" s="6"/>
      <c r="G28" s="5" t="s">
        <v>174</v>
      </c>
      <c r="H28" s="113">
        <v>0</v>
      </c>
      <c r="I28" s="6"/>
    </row>
    <row r="29" spans="2:9" ht="14" x14ac:dyDescent="0.3">
      <c r="B29" s="5" t="s">
        <v>175</v>
      </c>
      <c r="C29" s="113">
        <v>0</v>
      </c>
      <c r="D29" s="114">
        <v>0</v>
      </c>
      <c r="E29" s="34">
        <f t="shared" si="3"/>
        <v>0</v>
      </c>
      <c r="F29" s="6"/>
      <c r="H29" s="6"/>
    </row>
    <row r="30" spans="2:9" ht="15" customHeight="1" x14ac:dyDescent="0.3">
      <c r="B30" s="5" t="s">
        <v>176</v>
      </c>
      <c r="C30" s="113">
        <v>1788</v>
      </c>
      <c r="D30" s="114">
        <v>0</v>
      </c>
      <c r="E30" s="34">
        <f t="shared" si="3"/>
        <v>0</v>
      </c>
      <c r="F30" s="6"/>
    </row>
    <row r="31" spans="2:9" ht="14" x14ac:dyDescent="0.3">
      <c r="B31" s="5" t="s">
        <v>177</v>
      </c>
      <c r="C31" s="113">
        <v>0</v>
      </c>
      <c r="D31" s="114">
        <v>0</v>
      </c>
      <c r="E31" s="34">
        <f t="shared" si="3"/>
        <v>0</v>
      </c>
      <c r="F31" s="6"/>
    </row>
    <row r="32" spans="2:9" ht="15" customHeight="1" x14ac:dyDescent="0.3">
      <c r="B32" s="5" t="s">
        <v>178</v>
      </c>
      <c r="C32" s="113">
        <v>0</v>
      </c>
      <c r="D32" s="114">
        <v>0</v>
      </c>
      <c r="E32" s="34">
        <v>0</v>
      </c>
      <c r="F32" s="6"/>
    </row>
    <row r="33" spans="2:9" ht="15" customHeight="1" x14ac:dyDescent="0.3">
      <c r="B33" s="5" t="s">
        <v>179</v>
      </c>
      <c r="C33" s="113">
        <v>9455</v>
      </c>
      <c r="D33" s="114">
        <v>0</v>
      </c>
      <c r="E33" s="34">
        <f>C33*D33</f>
        <v>0</v>
      </c>
      <c r="F33" s="6"/>
    </row>
    <row r="34" spans="2:9" ht="15" customHeight="1" x14ac:dyDescent="0.3">
      <c r="C34" s="6"/>
      <c r="D34" s="6"/>
      <c r="E34" s="6"/>
      <c r="H34" s="6"/>
    </row>
    <row r="35" spans="2:9" ht="14" x14ac:dyDescent="0.3">
      <c r="B35" s="5" t="s">
        <v>180</v>
      </c>
      <c r="C35" s="116">
        <f>SUM(C23:C33)</f>
        <v>2929942</v>
      </c>
      <c r="D35" s="15">
        <f>E35/C35</f>
        <v>0.69347896647783469</v>
      </c>
      <c r="E35" s="34">
        <f>SUM(E23:E33)</f>
        <v>2031853.15</v>
      </c>
      <c r="F35" s="6"/>
      <c r="G35" s="5" t="s">
        <v>181</v>
      </c>
      <c r="H35" s="116">
        <f>SUM(H23:H28)</f>
        <v>100546</v>
      </c>
      <c r="I35" s="6"/>
    </row>
    <row r="36" spans="2:9" ht="15" customHeight="1" x14ac:dyDescent="0.3">
      <c r="C36" s="6"/>
      <c r="D36" s="6"/>
      <c r="E36" s="6"/>
      <c r="H36" s="6"/>
    </row>
    <row r="37" spans="2:9" ht="15" customHeight="1" x14ac:dyDescent="0.3">
      <c r="B37" s="115" t="s">
        <v>182</v>
      </c>
      <c r="C37" s="116">
        <f>C19+(C28+C29)+C32</f>
        <v>3666574</v>
      </c>
      <c r="D37" s="117">
        <f>E37/C37</f>
        <v>0.83192255222450162</v>
      </c>
      <c r="E37" s="118">
        <f>E19+(E28+E29)+E32</f>
        <v>3050305.5999999996</v>
      </c>
      <c r="F37" s="6"/>
      <c r="G37" s="115" t="s">
        <v>183</v>
      </c>
      <c r="H37" s="119">
        <f>E37/$H$39</f>
        <v>10.775685423901255</v>
      </c>
      <c r="I37" s="14" t="str">
        <f>IF(H37&lt;1,"Liquidity Problem!","")</f>
        <v/>
      </c>
    </row>
    <row r="38" spans="2:9" ht="15" customHeight="1" x14ac:dyDescent="0.3">
      <c r="B38" s="115" t="s">
        <v>184</v>
      </c>
      <c r="C38" s="120">
        <f>C37+C31</f>
        <v>3666574</v>
      </c>
      <c r="D38" s="117">
        <f>E38/C38</f>
        <v>0.83192255222450162</v>
      </c>
      <c r="E38" s="34">
        <f>E37+E31</f>
        <v>3050305.5999999996</v>
      </c>
      <c r="F38" s="6"/>
      <c r="G38" s="115" t="s">
        <v>185</v>
      </c>
      <c r="H38" s="119">
        <f>E38/$H$39</f>
        <v>10.775685423901255</v>
      </c>
      <c r="I38" s="6"/>
    </row>
    <row r="39" spans="2:9" ht="15" customHeight="1" x14ac:dyDescent="0.3">
      <c r="B39" s="5" t="s">
        <v>186</v>
      </c>
      <c r="C39" s="120">
        <f>C21+C35</f>
        <v>4932288</v>
      </c>
      <c r="D39" s="15">
        <f>E39/C39</f>
        <v>0.78368991226789664</v>
      </c>
      <c r="E39" s="34">
        <f>E21+E35</f>
        <v>3865384.3499999996</v>
      </c>
      <c r="F39" s="6"/>
      <c r="G39" s="5" t="s">
        <v>187</v>
      </c>
      <c r="H39" s="120">
        <f>H21+H35</f>
        <v>283073</v>
      </c>
      <c r="I39" s="6"/>
    </row>
    <row r="40" spans="2:9" ht="15" customHeight="1" x14ac:dyDescent="0.3">
      <c r="C40" s="6"/>
      <c r="D40" s="6"/>
      <c r="E40" s="6"/>
      <c r="H40" s="6"/>
    </row>
    <row r="41" spans="2:9" ht="14" x14ac:dyDescent="0.3">
      <c r="B41" s="24" t="s">
        <v>188</v>
      </c>
      <c r="C41" s="24"/>
      <c r="D41" s="79"/>
    </row>
    <row r="42" spans="2:9" ht="14" x14ac:dyDescent="0.3">
      <c r="B42" s="121" t="s">
        <v>189</v>
      </c>
      <c r="C42" s="5"/>
      <c r="D42" s="359"/>
      <c r="E42" s="359"/>
    </row>
    <row r="43" spans="2:9" ht="14" x14ac:dyDescent="0.3">
      <c r="B43" s="5" t="s">
        <v>190</v>
      </c>
      <c r="C43" s="122">
        <v>0</v>
      </c>
      <c r="D43" s="75" t="str">
        <f>IF(E43=C43,"BV of the MI","P/B Approach")</f>
        <v>BV of the MI</v>
      </c>
      <c r="E43" s="34">
        <f>MAX(C43,C43*Dashboard!H11)</f>
        <v>0</v>
      </c>
      <c r="F43" s="6"/>
    </row>
    <row r="44" spans="2:9" ht="15" customHeight="1" x14ac:dyDescent="0.3">
      <c r="C44" s="6"/>
      <c r="D44" s="6"/>
      <c r="E44" s="6"/>
    </row>
    <row r="45" spans="2:9" ht="14" x14ac:dyDescent="0.3">
      <c r="B45" s="5" t="s">
        <v>191</v>
      </c>
      <c r="C45" s="5"/>
      <c r="D45" s="359"/>
      <c r="E45" s="359"/>
      <c r="F45" s="80"/>
    </row>
    <row r="46" spans="2:9" ht="14" x14ac:dyDescent="0.3">
      <c r="B46" s="107" t="s">
        <v>192</v>
      </c>
      <c r="C46" s="6"/>
      <c r="D46" s="360">
        <v>0</v>
      </c>
      <c r="E46" s="316"/>
      <c r="F46" s="5"/>
    </row>
    <row r="47" spans="2:9" ht="14" x14ac:dyDescent="0.3">
      <c r="B47" s="107" t="s">
        <v>193</v>
      </c>
      <c r="C47" s="6"/>
      <c r="D47" s="360">
        <v>0</v>
      </c>
      <c r="E47" s="316"/>
      <c r="F47" s="6" t="s">
        <v>194</v>
      </c>
    </row>
    <row r="48" spans="2:9" ht="12.75" customHeight="1" x14ac:dyDescent="0.3">
      <c r="B48" s="80" t="s">
        <v>195</v>
      </c>
      <c r="C48" s="6"/>
      <c r="D48" s="339">
        <f>Data!C24+D46+D47</f>
        <v>115355</v>
      </c>
      <c r="E48" s="357"/>
      <c r="F48" s="5" t="s">
        <v>196</v>
      </c>
    </row>
    <row r="49" spans="2:7" ht="15" customHeight="1" x14ac:dyDescent="0.3">
      <c r="D49" s="6"/>
      <c r="E49" s="6"/>
    </row>
    <row r="50" spans="2:7" ht="14" x14ac:dyDescent="0.3">
      <c r="B50" s="5" t="s">
        <v>197</v>
      </c>
      <c r="C50" s="5"/>
      <c r="D50" s="359"/>
      <c r="E50" s="359"/>
      <c r="F50" s="20" t="s">
        <v>198</v>
      </c>
    </row>
    <row r="51" spans="2:7" ht="15" customHeight="1" x14ac:dyDescent="0.3">
      <c r="B51" s="80" t="s">
        <v>199</v>
      </c>
      <c r="C51" s="6"/>
      <c r="D51" s="361">
        <f>E11+E12+E25+E28+E29</f>
        <v>1590248.9499999997</v>
      </c>
      <c r="E51" s="362"/>
      <c r="F51" s="15">
        <f>1-(E12+E25+E28+E29)/(C12+C25+C28+C29)</f>
        <v>0.28698651449724066</v>
      </c>
      <c r="G51" s="6"/>
    </row>
    <row r="52" spans="2:7" ht="14" x14ac:dyDescent="0.3">
      <c r="B52" s="80" t="s">
        <v>143</v>
      </c>
      <c r="C52" s="6"/>
      <c r="D52" s="339">
        <f>C10+C32</f>
        <v>1603645</v>
      </c>
      <c r="E52" s="357"/>
      <c r="F52" s="6"/>
    </row>
    <row r="53" spans="2:7" ht="14" x14ac:dyDescent="0.3">
      <c r="B53" s="80" t="s">
        <v>200</v>
      </c>
      <c r="C53" s="6"/>
      <c r="D53" s="339">
        <f>((Dashboard!H6*1000)+D48+E43-(C12+C25+C28+C29)-D52)</f>
        <v>1463279.5234200004</v>
      </c>
      <c r="E53" s="357"/>
      <c r="F53" s="6"/>
    </row>
    <row r="54" spans="2:7" ht="15" customHeight="1" x14ac:dyDescent="0.3">
      <c r="D54" s="6"/>
      <c r="E54" s="6"/>
    </row>
  </sheetData>
  <mergeCells count="11">
    <mergeCell ref="D52:E52"/>
    <mergeCell ref="D53:E53"/>
    <mergeCell ref="B2:D2"/>
    <mergeCell ref="B8:D8"/>
    <mergeCell ref="D42:E42"/>
    <mergeCell ref="D45:E45"/>
    <mergeCell ref="D46:E46"/>
    <mergeCell ref="D47:E47"/>
    <mergeCell ref="D48:E48"/>
    <mergeCell ref="D50:E50"/>
    <mergeCell ref="D51:E51"/>
  </mergeCells>
  <dataValidations disablePrompts="1" count="1">
    <dataValidation allowBlank="1" sqref="D43" xr:uid="{00000000-0002-0000-0200-000000000000}"/>
  </dataValidation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B6D7A8"/>
    <outlinePr summaryBelow="0" summaryRight="0"/>
  </sheetPr>
  <dimension ref="A1:M964"/>
  <sheetViews>
    <sheetView showGridLines="0" topLeftCell="A32" zoomScale="125" workbookViewId="0">
      <selection activeCell="C54" sqref="C54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7" width="22.6328125" style="3" customWidth="1"/>
    <col min="8" max="8" width="2.453125" style="3" customWidth="1"/>
    <col min="9" max="16384" width="12.453125" style="3"/>
  </cols>
  <sheetData>
    <row r="1" spans="1:13" ht="15" customHeight="1" x14ac:dyDescent="0.3">
      <c r="C1" s="6"/>
      <c r="D1" s="6"/>
      <c r="E1" s="6"/>
    </row>
    <row r="2" spans="1:13" ht="15.75" customHeight="1" x14ac:dyDescent="0.3">
      <c r="A2" s="4"/>
      <c r="B2" s="198" t="s">
        <v>201</v>
      </c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3" ht="15.75" customHeight="1" x14ac:dyDescent="0.3">
      <c r="A3" s="6"/>
      <c r="B3" s="123" t="s">
        <v>202</v>
      </c>
      <c r="C3" s="124">
        <v>4</v>
      </c>
      <c r="D3" s="125" t="str">
        <f>IF(E7="","next 1 years","next 3 years")</f>
        <v>next 3 years</v>
      </c>
      <c r="E3" s="125" t="s">
        <v>203</v>
      </c>
      <c r="F3" s="26"/>
      <c r="G3" s="6"/>
      <c r="H3" s="6"/>
      <c r="I3" s="6"/>
      <c r="J3" s="6"/>
      <c r="K3" s="6"/>
      <c r="L3" s="6"/>
    </row>
    <row r="4" spans="1:13" ht="15.75" customHeight="1" x14ac:dyDescent="0.3">
      <c r="A4" s="6"/>
      <c r="B4" s="126" t="s">
        <v>67</v>
      </c>
      <c r="C4" s="127">
        <f>Data!J4</f>
        <v>-7.3199641347883149E-2</v>
      </c>
      <c r="D4" s="128">
        <f>IF(E7="",D16/C16-1,(G16/C16)^(1/4)-1)</f>
        <v>7.1389764242409726E-2</v>
      </c>
      <c r="E4" s="127">
        <f>IF(Dashboard!D9&gt;5%,5%,IF(Dashboard!D9&lt;3.5%,3.5%,Dashboard!D9))</f>
        <v>3.5400000000000001E-2</v>
      </c>
      <c r="F4" s="129" t="s">
        <v>204</v>
      </c>
    </row>
    <row r="5" spans="1:13" ht="15.75" customHeight="1" x14ac:dyDescent="0.3">
      <c r="B5" s="130"/>
      <c r="C5" s="6"/>
      <c r="D5" s="6"/>
      <c r="E5" s="6"/>
    </row>
    <row r="6" spans="1:13" ht="15.75" customHeight="1" x14ac:dyDescent="0.3">
      <c r="B6" s="39" t="str">
        <f>"(Numbers in "&amp;Data!C4&amp;Dashboard!H12&amp;")"</f>
        <v>(Numbers in 1000HKD)</v>
      </c>
      <c r="C6" s="38" t="str">
        <f>RIGHT(Data!C6,4)</f>
        <v>2021</v>
      </c>
      <c r="D6" s="38">
        <v>1</v>
      </c>
      <c r="E6" s="38" t="str">
        <f>"2 "&amp;IF(F7="","(Normalized)","(Base)")</f>
        <v>2 (Normalized)</v>
      </c>
      <c r="F6" s="38" t="str">
        <f>IF(F15="","","3 (Normalized)")</f>
        <v>3 (Normalized)</v>
      </c>
      <c r="G6" s="38" t="s">
        <v>205</v>
      </c>
      <c r="I6" s="131" t="s">
        <v>206</v>
      </c>
    </row>
    <row r="7" spans="1:13" ht="15.75" customHeight="1" x14ac:dyDescent="0.3">
      <c r="B7" s="5" t="s">
        <v>207</v>
      </c>
      <c r="C7" s="59">
        <f>Data!C8</f>
        <v>-0.49963907147868258</v>
      </c>
      <c r="D7" s="132">
        <f>D8/C8-1</f>
        <v>-0.53653457381857272</v>
      </c>
      <c r="E7" s="133">
        <v>0.2</v>
      </c>
      <c r="F7" s="236"/>
      <c r="G7" s="224"/>
      <c r="H7" s="6"/>
      <c r="I7" s="134"/>
    </row>
    <row r="8" spans="1:13" ht="15.75" customHeight="1" x14ac:dyDescent="0.3">
      <c r="B8" s="5" t="s">
        <v>208</v>
      </c>
      <c r="C8" s="135">
        <f>Data!C7</f>
        <v>1281649</v>
      </c>
      <c r="D8" s="242">
        <f>330000*1.8</f>
        <v>594000</v>
      </c>
      <c r="E8" s="234">
        <f>IF(E7="","",D8*(1+E7))</f>
        <v>712800</v>
      </c>
      <c r="F8" s="237"/>
      <c r="G8" s="224"/>
      <c r="H8" s="6"/>
      <c r="I8" s="134"/>
      <c r="M8" s="105"/>
    </row>
    <row r="9" spans="1:13" ht="15.75" customHeight="1" x14ac:dyDescent="0.3">
      <c r="B9" s="8" t="s">
        <v>209</v>
      </c>
      <c r="C9" s="70">
        <f>Data!C9</f>
        <v>915778</v>
      </c>
      <c r="D9" s="243">
        <f>D8*(1-D10)</f>
        <v>641520</v>
      </c>
      <c r="E9" s="235">
        <f>IF(E7="","",E8*(1-E10))</f>
        <v>513216</v>
      </c>
      <c r="F9" s="237"/>
      <c r="G9" s="224"/>
      <c r="H9" s="6"/>
      <c r="I9" s="238"/>
      <c r="M9" s="1"/>
    </row>
    <row r="10" spans="1:13" ht="15.75" customHeight="1" x14ac:dyDescent="0.3">
      <c r="B10" s="137" t="s">
        <v>210</v>
      </c>
      <c r="C10" s="59">
        <f>Data!C10</f>
        <v>0.28546895444852688</v>
      </c>
      <c r="D10" s="138">
        <v>-0.08</v>
      </c>
      <c r="E10" s="138">
        <v>0.28000000000000003</v>
      </c>
      <c r="F10" s="239"/>
      <c r="G10" s="224"/>
      <c r="H10" s="6"/>
      <c r="I10" s="134"/>
    </row>
    <row r="11" spans="1:13" ht="15.75" customHeight="1" x14ac:dyDescent="0.3">
      <c r="B11" s="5" t="s">
        <v>211</v>
      </c>
      <c r="C11" s="34">
        <f t="shared" ref="C11" si="0">C8-C9</f>
        <v>365871</v>
      </c>
      <c r="D11" s="68">
        <f>D8-D9</f>
        <v>-47520</v>
      </c>
      <c r="E11" s="68">
        <f>IF(E7="","",E8-E9)</f>
        <v>199584</v>
      </c>
      <c r="F11" s="240"/>
      <c r="G11" s="224"/>
      <c r="H11" s="6"/>
      <c r="I11" s="134"/>
    </row>
    <row r="12" spans="1:13" ht="15.75" customHeight="1" x14ac:dyDescent="0.3">
      <c r="B12" s="137" t="s">
        <v>64</v>
      </c>
      <c r="C12" s="62">
        <f>Data!C12</f>
        <v>0.10191401858075028</v>
      </c>
      <c r="D12" s="139">
        <f>D13/D8</f>
        <v>0.24156228956228956</v>
      </c>
      <c r="E12" s="140">
        <v>0.14000000000000001</v>
      </c>
      <c r="F12" s="239"/>
      <c r="G12" s="224"/>
      <c r="H12" s="6"/>
      <c r="I12" s="134"/>
    </row>
    <row r="13" spans="1:13" ht="15.75" customHeight="1" x14ac:dyDescent="0.3">
      <c r="B13" s="8" t="s">
        <v>212</v>
      </c>
      <c r="C13" s="141">
        <f>Data!C11</f>
        <v>130618</v>
      </c>
      <c r="D13" s="142">
        <v>143488</v>
      </c>
      <c r="E13" s="136">
        <f>IF(E7="","",E8*E12)</f>
        <v>99792.000000000015</v>
      </c>
      <c r="F13" s="240"/>
      <c r="G13" s="224"/>
      <c r="H13" s="6"/>
      <c r="I13" s="134"/>
    </row>
    <row r="14" spans="1:13" ht="15.75" customHeight="1" x14ac:dyDescent="0.3">
      <c r="B14" s="137" t="s">
        <v>213</v>
      </c>
      <c r="C14" s="19">
        <f>Data!C13</f>
        <v>0.1835549358677766</v>
      </c>
      <c r="D14" s="132">
        <f>D16/D8</f>
        <v>-0.32156228956228955</v>
      </c>
      <c r="E14" s="132">
        <f>IF(E7="","",E16/E8)</f>
        <v>0.13999999999999999</v>
      </c>
      <c r="F14" s="241"/>
      <c r="G14" s="224"/>
      <c r="H14" s="6"/>
      <c r="I14" s="134"/>
      <c r="M14" s="105"/>
    </row>
    <row r="15" spans="1:13" ht="15.75" customHeight="1" x14ac:dyDescent="0.3">
      <c r="B15" s="143" t="s">
        <v>214</v>
      </c>
      <c r="C15" s="15">
        <f>Data!C15</f>
        <v>-0.80814686506596722</v>
      </c>
      <c r="D15" s="139" t="str">
        <f>IF(ABS(C16+D16)=ABS(C16)+ABS(D16),IF(D16&lt;0,-1,1)*(D16-C16)/C16,"Turn")</f>
        <v>Turn</v>
      </c>
      <c r="E15" s="139" t="str">
        <f>IF(E7="","",IF(ABS(D16+E16)=ABS(D16)+ABS(E16),IF(E16&lt;0,-1,1)*(E16-D16)/D16,"Turn"))</f>
        <v>Turn</v>
      </c>
      <c r="F15" s="244">
        <v>2</v>
      </c>
      <c r="G15" s="144">
        <f>G19*G20</f>
        <v>3.5400000000000001E-2</v>
      </c>
      <c r="H15" s="6"/>
      <c r="I15" s="145" t="s">
        <v>215</v>
      </c>
      <c r="K15" s="146"/>
      <c r="M15" s="146"/>
    </row>
    <row r="16" spans="1:13" ht="15.75" customHeight="1" x14ac:dyDescent="0.3">
      <c r="B16" s="5" t="s">
        <v>66</v>
      </c>
      <c r="C16" s="34">
        <f>IF(Data!D50="No",Data!C69,Data!D69)</f>
        <v>235253</v>
      </c>
      <c r="D16" s="68">
        <f>D11-D13</f>
        <v>-191008</v>
      </c>
      <c r="E16" s="68">
        <f>IF(E7="","",E11-E13)</f>
        <v>99791.999999999985</v>
      </c>
      <c r="F16" s="68">
        <f>IF(F15="","",E16*(1+F15))</f>
        <v>299375.99999999994</v>
      </c>
      <c r="G16" s="34">
        <f>IF(F15="",IF(E15="",C28,E16*(1+G15)),F16*(1+G15))</f>
        <v>309973.91039999999</v>
      </c>
      <c r="H16" s="6"/>
      <c r="I16" s="147"/>
      <c r="K16" s="104"/>
      <c r="M16" s="104"/>
    </row>
    <row r="17" spans="2:13" ht="15.75" customHeight="1" x14ac:dyDescent="0.3">
      <c r="B17" s="21" t="s">
        <v>216</v>
      </c>
      <c r="C17" s="225"/>
      <c r="D17" s="148">
        <v>0.25</v>
      </c>
      <c r="E17" s="40">
        <f>IF(E7="","",D17)</f>
        <v>0.25</v>
      </c>
      <c r="F17" s="40">
        <f>IF(F15="","",D17)</f>
        <v>0.25</v>
      </c>
      <c r="G17" s="73">
        <f>D17</f>
        <v>0.25</v>
      </c>
      <c r="H17" s="6"/>
      <c r="I17" s="146"/>
      <c r="K17" s="105"/>
      <c r="M17" s="105"/>
    </row>
    <row r="18" spans="2:13" ht="15.75" customHeight="1" x14ac:dyDescent="0.3">
      <c r="B18" s="5" t="s">
        <v>123</v>
      </c>
      <c r="C18" s="149">
        <f>IF(Data!D50="No",Data!C72,Data!D72)</f>
        <v>176439.75</v>
      </c>
      <c r="D18" s="150">
        <f>IF(D16&lt;=0,D16,D16*(1-D17))</f>
        <v>-191008</v>
      </c>
      <c r="E18" s="150">
        <f>IF(E7="","",IF(E16&lt;=0,E16,E16*(1-E17)))</f>
        <v>74843.999999999985</v>
      </c>
      <c r="F18" s="150">
        <f>IF(F15="","",IF(F16&lt;=0,F16,F16*(1-F17)))</f>
        <v>224531.99999999994</v>
      </c>
      <c r="G18" s="149">
        <f>G16*(1-G17)</f>
        <v>232480.43280000001</v>
      </c>
      <c r="H18" s="6"/>
      <c r="I18" s="151"/>
      <c r="K18" s="104"/>
      <c r="M18" s="104"/>
    </row>
    <row r="19" spans="2:13" ht="15.75" hidden="1" customHeight="1" x14ac:dyDescent="0.3">
      <c r="B19" s="18" t="s">
        <v>217</v>
      </c>
      <c r="C19" s="152"/>
      <c r="D19" s="152"/>
      <c r="E19" s="152"/>
      <c r="F19" s="37"/>
      <c r="G19" s="15">
        <f>G23</f>
        <v>8.0399999999999999E-2</v>
      </c>
      <c r="H19" s="6"/>
      <c r="I19" s="134" t="s">
        <v>218</v>
      </c>
      <c r="K19" s="105"/>
      <c r="M19" s="105"/>
    </row>
    <row r="20" spans="2:13" ht="15.75" customHeight="1" x14ac:dyDescent="0.3">
      <c r="B20" s="18" t="s">
        <v>84</v>
      </c>
      <c r="C20" s="15">
        <f t="shared" ref="C20" si="1">C21/C18</f>
        <v>0.13299157361082181</v>
      </c>
      <c r="D20" s="37">
        <f>IF(E7="",G20,D21/D18)</f>
        <v>-4.7118445300720388E-2</v>
      </c>
      <c r="E20" s="114">
        <v>0.14000000000000001</v>
      </c>
      <c r="F20" s="37">
        <f>IF(F15="","",G15/G19)</f>
        <v>0.44029850746268656</v>
      </c>
      <c r="G20" s="15">
        <f>E4/G19</f>
        <v>0.44029850746268656</v>
      </c>
      <c r="H20" s="6"/>
      <c r="I20" s="145" t="s">
        <v>219</v>
      </c>
    </row>
    <row r="21" spans="2:13" ht="15" customHeight="1" thickBot="1" x14ac:dyDescent="0.35">
      <c r="B21" s="153" t="s">
        <v>120</v>
      </c>
      <c r="C21" s="154">
        <f>IF(Data!D50="No",Data!C71,Data!D71)</f>
        <v>23465</v>
      </c>
      <c r="D21" s="155">
        <v>9000</v>
      </c>
      <c r="E21" s="156">
        <f>IF(E7="","",IF(F15="",E18*G20,E20*E18))</f>
        <v>10478.16</v>
      </c>
      <c r="F21" s="245"/>
      <c r="G21" s="245"/>
      <c r="H21" s="157"/>
      <c r="I21" s="104"/>
      <c r="M21" s="104"/>
    </row>
    <row r="22" spans="2:13" ht="15.75" customHeight="1" thickTop="1" x14ac:dyDescent="0.3">
      <c r="B22" s="8" t="s">
        <v>220</v>
      </c>
      <c r="C22" s="247"/>
      <c r="D22" s="158">
        <f>IF(D18="","",IF(E7="",D18*(1-D20),D18-D21))</f>
        <v>-200008</v>
      </c>
      <c r="E22" s="158">
        <f>IF(E7="","",E18-E21)</f>
        <v>64365.839999999982</v>
      </c>
      <c r="F22" s="158">
        <f>IF(F15="","",F18*(1-F20))</f>
        <v>125670.89552238802</v>
      </c>
      <c r="G22" s="159">
        <f>G18*(1-G20)</f>
        <v>130119.64522388059</v>
      </c>
      <c r="H22" s="157"/>
      <c r="I22" s="104"/>
      <c r="M22" s="104"/>
    </row>
    <row r="23" spans="2:13" ht="15.75" customHeight="1" x14ac:dyDescent="0.3">
      <c r="B23" s="18" t="s">
        <v>221</v>
      </c>
      <c r="C23" s="229"/>
      <c r="D23" s="227">
        <f>Dashboard!D11</f>
        <v>6.54E-2</v>
      </c>
      <c r="E23" s="132">
        <f>IF(E7="","",D23)</f>
        <v>6.54E-2</v>
      </c>
      <c r="F23" s="132">
        <f>IF(F15="","",D23)</f>
        <v>6.54E-2</v>
      </c>
      <c r="G23" s="19">
        <f>Dashboard!D13</f>
        <v>8.0399999999999999E-2</v>
      </c>
      <c r="H23" s="111"/>
      <c r="I23" s="105"/>
      <c r="J23" s="6"/>
      <c r="M23" s="105"/>
    </row>
    <row r="24" spans="2:13" ht="15.75" customHeight="1" thickBot="1" x14ac:dyDescent="0.35">
      <c r="B24" s="160" t="s">
        <v>222</v>
      </c>
      <c r="C24" s="228"/>
      <c r="D24" s="230">
        <f>IF(D16="","",1+D23)</f>
        <v>1.0653999999999999</v>
      </c>
      <c r="E24" s="161">
        <f>IF(E7="","",(1+D23)*(1+E23))</f>
        <v>1.1350771599999998</v>
      </c>
      <c r="F24" s="161">
        <f>IF(F15="","",(1+D23)*(1+E23)*(1+F23))</f>
        <v>1.2093112062639997</v>
      </c>
      <c r="G24" s="162">
        <f>IF(F15="",IF(E7="",D24,E24),F24)*(1+G23)</f>
        <v>1.3065398272476252</v>
      </c>
      <c r="H24" s="111"/>
      <c r="I24" s="105"/>
      <c r="M24" s="105"/>
    </row>
    <row r="25" spans="2:13" ht="15.75" customHeight="1" thickTop="1" x14ac:dyDescent="0.3">
      <c r="B25" s="8" t="s">
        <v>223</v>
      </c>
      <c r="C25" s="226"/>
      <c r="D25" s="231">
        <f>IF(D16="","",D22/D24)</f>
        <v>-187730.42988548902</v>
      </c>
      <c r="E25" s="246">
        <f>IF(E7="","",E22/E24)</f>
        <v>56706.136171394719</v>
      </c>
      <c r="F25" s="246">
        <f>IF(F15="","",F22/F24)</f>
        <v>103919.40045824178</v>
      </c>
      <c r="G25" s="232"/>
      <c r="H25" s="151"/>
      <c r="I25" s="104"/>
      <c r="M25" s="104"/>
    </row>
    <row r="26" spans="2:13" ht="15.75" customHeight="1" x14ac:dyDescent="0.3">
      <c r="F26" s="6"/>
      <c r="G26" s="233"/>
    </row>
    <row r="27" spans="2:13" ht="15.75" customHeight="1" x14ac:dyDescent="0.3">
      <c r="B27" s="29" t="s">
        <v>224</v>
      </c>
      <c r="C27" s="134" t="s">
        <v>225</v>
      </c>
      <c r="G27" s="6"/>
    </row>
    <row r="28" spans="2:13" ht="15.75" customHeight="1" x14ac:dyDescent="0.3">
      <c r="B28" s="3" t="s">
        <v>226</v>
      </c>
      <c r="C28" s="163">
        <f>IF(OR(E15="",F15=""),D16,E16)*(1+G15)</f>
        <v>103324.63679999999</v>
      </c>
      <c r="E28" s="6" t="s">
        <v>227</v>
      </c>
      <c r="F28" s="15">
        <f>G23</f>
        <v>8.0399999999999999E-2</v>
      </c>
      <c r="G28" s="6"/>
    </row>
    <row r="29" spans="2:13" ht="15.75" customHeight="1" thickBot="1" x14ac:dyDescent="0.35">
      <c r="B29" s="3" t="s">
        <v>228</v>
      </c>
      <c r="C29" s="164">
        <f>(C28*(1-G17))/F28</f>
        <v>963849.22388059704</v>
      </c>
      <c r="G29" s="6"/>
    </row>
    <row r="30" spans="2:13" ht="15.75" customHeight="1" thickTop="1" x14ac:dyDescent="0.3">
      <c r="B30" s="107" t="s">
        <v>229</v>
      </c>
      <c r="C30" s="163">
        <f>C29/(IF(OR(E15="",F15=""),D24,E24)*(1+G23))</f>
        <v>785957.64301011618</v>
      </c>
      <c r="G30" s="6"/>
    </row>
    <row r="31" spans="2:13" ht="15.75" customHeight="1" x14ac:dyDescent="0.3">
      <c r="B31" s="107" t="s">
        <v>230</v>
      </c>
      <c r="C31" s="163">
        <f>IF(OR(E15="",F15=""),D18*0.5/D24,D25+E25)</f>
        <v>-131024.2937140943</v>
      </c>
    </row>
    <row r="32" spans="2:13" ht="15.75" customHeight="1" x14ac:dyDescent="0.3">
      <c r="B32" s="107" t="s">
        <v>231</v>
      </c>
      <c r="C32" s="163">
        <f>'Asset Model'!D51</f>
        <v>1590248.9499999997</v>
      </c>
    </row>
    <row r="33" spans="2:13" ht="15.75" customHeight="1" x14ac:dyDescent="0.3">
      <c r="B33" s="107" t="s">
        <v>232</v>
      </c>
      <c r="C33" s="163">
        <f>Data!C27</f>
        <v>1603645</v>
      </c>
    </row>
    <row r="34" spans="2:13" ht="15.75" customHeight="1" x14ac:dyDescent="0.3">
      <c r="B34" s="80" t="s">
        <v>233</v>
      </c>
      <c r="C34" s="163">
        <f>'Asset Model'!D48</f>
        <v>115355</v>
      </c>
    </row>
    <row r="35" spans="2:13" ht="15.75" customHeight="1" thickBot="1" x14ac:dyDescent="0.35">
      <c r="B35" s="165" t="s">
        <v>234</v>
      </c>
      <c r="C35" s="163">
        <f>'Asset Model'!E43</f>
        <v>0</v>
      </c>
    </row>
    <row r="36" spans="2:13" ht="15.75" customHeight="1" thickTop="1" x14ac:dyDescent="0.3">
      <c r="B36" s="5" t="s">
        <v>235</v>
      </c>
      <c r="C36" s="166">
        <f>C30+C31+(C32+C33-C34-C35)</f>
        <v>3733472.2992960215</v>
      </c>
      <c r="D36" s="167" t="str">
        <f>Dashboard!H12</f>
        <v>HKD</v>
      </c>
      <c r="E36" s="6"/>
    </row>
    <row r="37" spans="2:13" ht="15.75" customHeight="1" x14ac:dyDescent="0.3">
      <c r="B37" s="5" t="s">
        <v>236</v>
      </c>
      <c r="C37" s="168">
        <f>C36*Data!C4/Common_Shares*Exchange_Rate</f>
        <v>2.0317665601831623</v>
      </c>
      <c r="D37" s="76" t="str">
        <f>Dashboard!I4</f>
        <v>HKD</v>
      </c>
      <c r="E37" s="6"/>
    </row>
    <row r="38" spans="2:13" ht="15.75" customHeight="1" x14ac:dyDescent="0.3">
      <c r="C38" s="6"/>
      <c r="D38" s="6"/>
      <c r="G38" s="6"/>
    </row>
    <row r="39" spans="2:13" ht="15.75" customHeight="1" x14ac:dyDescent="0.3">
      <c r="B39" s="29" t="s">
        <v>237</v>
      </c>
      <c r="C39" s="169"/>
      <c r="D39" s="26"/>
      <c r="E39" s="170"/>
      <c r="F39" s="171"/>
    </row>
    <row r="40" spans="2:13" ht="15.75" customHeight="1" x14ac:dyDescent="0.3">
      <c r="B40" s="3" t="s">
        <v>226</v>
      </c>
      <c r="C40" s="163">
        <f>G16</f>
        <v>309973.91039999999</v>
      </c>
      <c r="D40" s="26"/>
      <c r="E40" s="170"/>
      <c r="F40" s="171"/>
    </row>
    <row r="41" spans="2:13" ht="15.75" customHeight="1" thickBot="1" x14ac:dyDescent="0.35">
      <c r="B41" s="80" t="s">
        <v>228</v>
      </c>
      <c r="C41" s="164">
        <f>G22/(G23-G15)</f>
        <v>2891547.6716417912</v>
      </c>
      <c r="D41" s="172"/>
      <c r="E41" s="6" t="s">
        <v>227</v>
      </c>
      <c r="F41" s="15">
        <f>G18/C41</f>
        <v>8.0399999999999999E-2</v>
      </c>
      <c r="G41" s="6"/>
      <c r="M41" s="1"/>
    </row>
    <row r="42" spans="2:13" ht="15.75" customHeight="1" thickTop="1" x14ac:dyDescent="0.3">
      <c r="B42" s="107" t="s">
        <v>229</v>
      </c>
      <c r="C42" s="163">
        <f>C41/G24</f>
        <v>2213133.9675524207</v>
      </c>
      <c r="D42" s="173"/>
      <c r="F42" s="6"/>
      <c r="G42" s="6"/>
      <c r="I42" s="363"/>
      <c r="J42" s="363"/>
      <c r="K42" s="363"/>
      <c r="L42" s="174"/>
      <c r="M42" s="175"/>
    </row>
    <row r="43" spans="2:13" ht="15.75" customHeight="1" thickBot="1" x14ac:dyDescent="0.35">
      <c r="B43" s="107" t="s">
        <v>230</v>
      </c>
      <c r="C43" s="163">
        <f>SUM(D25:F25)</f>
        <v>-27104.893255852512</v>
      </c>
      <c r="D43" s="173"/>
      <c r="F43" s="6"/>
      <c r="G43" s="6"/>
      <c r="I43" s="31"/>
      <c r="J43" s="31"/>
      <c r="K43" s="31"/>
      <c r="L43" s="174"/>
      <c r="M43" s="175"/>
    </row>
    <row r="44" spans="2:13" ht="15.75" customHeight="1" thickTop="1" x14ac:dyDescent="0.3">
      <c r="B44" s="5" t="s">
        <v>235</v>
      </c>
      <c r="C44" s="166">
        <f>C43+C42+(C32+C33-C34-C35)</f>
        <v>5264568.0242965678</v>
      </c>
      <c r="D44" s="167" t="str">
        <f>Dashboard!H12</f>
        <v>HKD</v>
      </c>
      <c r="E44" s="170" t="s">
        <v>134</v>
      </c>
      <c r="F44" s="30">
        <f>IF(Data!F3&lt;=0,"NNI",C45/((Data!F3*Exchange_Rate)/(Common_Shares/Data!C4)))</f>
        <v>11.49938517319641</v>
      </c>
      <c r="G44" s="6"/>
      <c r="H44" s="176"/>
      <c r="I44" s="6"/>
    </row>
    <row r="45" spans="2:13" ht="15.75" customHeight="1" x14ac:dyDescent="0.3">
      <c r="B45" s="5" t="s">
        <v>236</v>
      </c>
      <c r="C45" s="168">
        <f>C44*Data!C4/Common_Shares*Exchange_Rate</f>
        <v>2.8649933381298154</v>
      </c>
      <c r="D45" s="76" t="str">
        <f>Dashboard!I4</f>
        <v>HKD</v>
      </c>
      <c r="E45" s="170" t="s">
        <v>136</v>
      </c>
      <c r="F45" s="30">
        <f>C45/(Data!C25*Exchange_Rate*Data!C4/Common_Shares)</f>
        <v>1.1323563277449133</v>
      </c>
      <c r="G45" s="6"/>
    </row>
    <row r="46" spans="2:13" ht="15.75" customHeight="1" x14ac:dyDescent="0.3">
      <c r="C46" s="6"/>
      <c r="D46" s="6"/>
      <c r="F46" s="6"/>
      <c r="I46" s="80"/>
      <c r="J46" s="177"/>
    </row>
    <row r="47" spans="2:13" ht="15.75" customHeight="1" x14ac:dyDescent="0.3">
      <c r="C47" s="178" t="s">
        <v>238</v>
      </c>
      <c r="D47" s="32" t="s">
        <v>239</v>
      </c>
      <c r="E47" s="178" t="s">
        <v>240</v>
      </c>
      <c r="F47" s="179" t="s">
        <v>241</v>
      </c>
      <c r="G47" s="178" t="s">
        <v>242</v>
      </c>
      <c r="I47" s="180" t="s">
        <v>206</v>
      </c>
    </row>
    <row r="48" spans="2:13" ht="15.75" hidden="1" customHeight="1" x14ac:dyDescent="0.3">
      <c r="C48" s="6"/>
      <c r="D48" s="6"/>
      <c r="E48" s="181">
        <f>G18/F41</f>
        <v>2891547.6716417912</v>
      </c>
      <c r="F48" s="182"/>
      <c r="I48" s="183"/>
    </row>
    <row r="49" spans="1:12" ht="15.75" customHeight="1" x14ac:dyDescent="0.3">
      <c r="B49" s="3" t="s">
        <v>243</v>
      </c>
      <c r="C49" s="184">
        <f>1/D49</f>
        <v>12.437810945273633</v>
      </c>
      <c r="D49" s="15">
        <f>F41</f>
        <v>8.0399999999999999E-2</v>
      </c>
      <c r="E49" s="185">
        <f t="dataTable" ref="E49:E54" dt2D="0" dtr="0" r1="F41" ca="1"/>
        <v>2891547.6716417912</v>
      </c>
      <c r="F49" s="186">
        <f>(E49/G24+C43+(C32+C33-C34-C35))*Data!C$4/Common_Shares*Exchange_Rate</f>
        <v>2.8649933381298154</v>
      </c>
      <c r="G49" s="187">
        <f>IF(Data!F$3&lt;=0,"NNI",F49/((Data!F$3*Exchange_Rate)/(Common_Shares/Data!C$4)))</f>
        <v>11.49938517319641</v>
      </c>
      <c r="I49" s="134" t="s">
        <v>244</v>
      </c>
    </row>
    <row r="50" spans="1:12" ht="15.75" customHeight="1" x14ac:dyDescent="0.3">
      <c r="C50" s="188">
        <f>1/D50</f>
        <v>12.450199203187251</v>
      </c>
      <c r="D50" s="15">
        <f>D49-((D$49-D$54)/5)</f>
        <v>8.0320000000000003E-2</v>
      </c>
      <c r="E50" s="189">
        <v>2894427.6992031871</v>
      </c>
      <c r="F50" s="186">
        <f>(E50/G24+C43+(C32+C33-C34-C35))*Data!C$4/Common_Shares*Exchange_Rate</f>
        <v>2.8661929337345509</v>
      </c>
      <c r="G50" s="188">
        <f>IF(Data!F$3&lt;=0,"NNI",F50/((Data!F$3*Exchange_Rate)/(Common_Shares/Data!C$4)))</f>
        <v>11.504200057659608</v>
      </c>
      <c r="I50" s="134"/>
    </row>
    <row r="51" spans="1:12" ht="15.75" customHeight="1" x14ac:dyDescent="0.3">
      <c r="C51" s="188">
        <f>1/D51</f>
        <v>12.462612163509471</v>
      </c>
      <c r="D51" s="15">
        <f>D50-((D$49-D$54)/5)</f>
        <v>8.0240000000000006E-2</v>
      </c>
      <c r="E51" s="189">
        <v>2899047.6955307261</v>
      </c>
      <c r="F51" s="186">
        <f>(E51/G24+C43+(C32+C33-C34-C35))*Data!C$4/Common_Shares*Exchange_Rate</f>
        <v>2.8681172650717546</v>
      </c>
      <c r="G51" s="188">
        <f>IF(Data!F$3&lt;=0,"NNI",F51/((Data!F$3*Exchange_Rate)/(Common_Shares/Data!C$4)))</f>
        <v>11.511923854763374</v>
      </c>
      <c r="I51" s="134"/>
    </row>
    <row r="52" spans="1:12" ht="15.75" customHeight="1" x14ac:dyDescent="0.3">
      <c r="C52" s="188">
        <f t="shared" ref="C52:C53" si="2">1/D52</f>
        <v>12.475049900199599</v>
      </c>
      <c r="D52" s="15">
        <f>D51-((D$49-D$54)/5)</f>
        <v>8.0160000000000009E-2</v>
      </c>
      <c r="E52" s="189">
        <v>2903218.3204124044</v>
      </c>
      <c r="F52" s="186">
        <f>(E52/G24+C43+(C32+C33-C34-C35))*Data!C$4/Common_Shares*Exchange_Rate</f>
        <v>2.8698544231962542</v>
      </c>
      <c r="G52" s="188">
        <f>IF(Data!F$3&lt;=0,"NNI",F52/((Data!F$3*Exchange_Rate)/(Common_Shares/Data!C$4)))</f>
        <v>11.518896384198088</v>
      </c>
      <c r="I52" s="134" t="s">
        <v>245</v>
      </c>
    </row>
    <row r="53" spans="1:12" ht="15.75" customHeight="1" x14ac:dyDescent="0.3">
      <c r="C53" s="188">
        <f t="shared" si="2"/>
        <v>12.487512487512486</v>
      </c>
      <c r="D53" s="15">
        <f>D52-((D$49-D$54)/5)</f>
        <v>8.0080000000000012E-2</v>
      </c>
      <c r="E53" s="189">
        <v>2905447.5640676985</v>
      </c>
      <c r="F53" s="186">
        <f>(E53/G24+C43+(C32+C33-C34-C35))*Data!C$4/Common_Shares*Exchange_Rate</f>
        <v>2.8707829528140323</v>
      </c>
      <c r="G53" s="188">
        <f>IF(Data!F$3&lt;=0,"NNI",F53/((Data!F$3*Exchange_Rate)/(Common_Shares/Data!C$4)))</f>
        <v>11.522623275837747</v>
      </c>
      <c r="I53" s="134"/>
    </row>
    <row r="54" spans="1:12" ht="15.75" customHeight="1" x14ac:dyDescent="0.3">
      <c r="B54" s="3" t="s">
        <v>246</v>
      </c>
      <c r="C54" s="190">
        <f>1/D54</f>
        <v>12.5</v>
      </c>
      <c r="D54" s="148">
        <v>0.08</v>
      </c>
      <c r="E54" s="191">
        <v>2906005.41</v>
      </c>
      <c r="F54" s="192">
        <f>(E54/G24+C43+(C32+C33-C34-C35))*Data!C$4/Common_Shares*Exchange_Rate</f>
        <v>2.8710153080655862</v>
      </c>
      <c r="G54" s="190">
        <f>IF(Data!F$3&lt;=0,"NNI",F54/((Data!F$3*Exchange_Rate)/(Common_Shares/Data!C$4)))</f>
        <v>11.523555893201658</v>
      </c>
      <c r="I54" s="134"/>
    </row>
    <row r="55" spans="1:12" ht="15.75" customHeight="1" x14ac:dyDescent="0.3">
      <c r="C55" s="6"/>
      <c r="D55" s="6"/>
      <c r="E55" s="6"/>
      <c r="F55" s="6"/>
      <c r="G55" s="6"/>
    </row>
    <row r="56" spans="1:12" ht="15.75" customHeight="1" x14ac:dyDescent="0.3">
      <c r="A56" s="11"/>
      <c r="B56" s="12" t="s">
        <v>21</v>
      </c>
      <c r="C56" s="32" t="s">
        <v>244</v>
      </c>
      <c r="D56" s="179"/>
      <c r="E56" s="179" t="str">
        <f>IF(D57="&gt;","Hight future interest rate scenario","Optimistic scenario")</f>
        <v>Optimistic scenario</v>
      </c>
      <c r="F56" s="179"/>
      <c r="G56" s="179"/>
      <c r="H56" s="13"/>
      <c r="I56" s="194"/>
      <c r="J56" s="13"/>
      <c r="K56" s="13"/>
      <c r="L56" s="13"/>
    </row>
    <row r="57" spans="1:12" ht="15.75" customHeight="1" x14ac:dyDescent="0.3">
      <c r="A57" s="6"/>
      <c r="B57" s="121" t="s">
        <v>247</v>
      </c>
      <c r="C57" s="195">
        <f>C37</f>
        <v>2.0317665601831623</v>
      </c>
      <c r="D57" s="26" t="str">
        <f>IF(C57&lt;E57,"&lt;",IF(C57=E57,"=","&gt;"))</f>
        <v>&lt;</v>
      </c>
      <c r="E57" s="196">
        <f>F54</f>
        <v>2.8710153080655862</v>
      </c>
      <c r="F57" s="6"/>
      <c r="G57" s="6"/>
      <c r="H57" s="6"/>
      <c r="I57" s="6"/>
      <c r="J57" s="6"/>
      <c r="K57" s="6"/>
      <c r="L57" s="6"/>
    </row>
    <row r="58" spans="1:12" ht="15.75" hidden="1" customHeight="1" x14ac:dyDescent="0.3">
      <c r="A58" s="6"/>
      <c r="B58" s="6"/>
      <c r="C58" s="6"/>
      <c r="D58" s="6"/>
      <c r="E58" s="6"/>
      <c r="F58" s="6"/>
      <c r="G58" s="6"/>
      <c r="H58" s="6"/>
      <c r="I58" s="6"/>
      <c r="J58" s="275" t="s">
        <v>248</v>
      </c>
      <c r="K58" s="276">
        <f>IRR(C60:G60)</f>
        <v>4.860666710885031E-3</v>
      </c>
    </row>
    <row r="59" spans="1:12" ht="15.75" hidden="1" customHeight="1" x14ac:dyDescent="0.3">
      <c r="B59" s="3" t="s">
        <v>249</v>
      </c>
      <c r="C59" s="44" t="s">
        <v>250</v>
      </c>
      <c r="D59" s="44">
        <v>1</v>
      </c>
      <c r="E59" s="44">
        <v>2</v>
      </c>
      <c r="F59" s="261">
        <v>3</v>
      </c>
      <c r="G59" s="261">
        <v>4</v>
      </c>
      <c r="H59" s="6"/>
      <c r="I59" s="44" t="s">
        <v>251</v>
      </c>
      <c r="J59" s="277">
        <f>-Dashboard!H4+(C32+C33-C34-C35)/(Dashboard!H5/Data!C4)</f>
        <v>-1.1446500867273623</v>
      </c>
      <c r="K59" s="276">
        <f t="dataTable" ref="K59:K60" dt2D="0" dtr="0" r1="C60" ca="1"/>
        <v>4.860666710885031E-3</v>
      </c>
    </row>
    <row r="60" spans="1:12" ht="15.75" hidden="1" customHeight="1" x14ac:dyDescent="0.3">
      <c r="B60" s="6"/>
      <c r="C60" s="186">
        <f>J59</f>
        <v>-1.1446500867273623</v>
      </c>
      <c r="D60" s="186">
        <f>D22/(Dashboard!H5/Data!C4)</f>
        <v>-0.10884493940017674</v>
      </c>
      <c r="E60" s="186">
        <f>IF(E7="",I60,E22)/(Dashboard!H5/Data!C4)</f>
        <v>3.5028078648061428E-2</v>
      </c>
      <c r="F60" s="264">
        <f>IF(E7="","",IF(F15="",I60,F22)/(Dashboard!H5/Data!C4))</f>
        <v>6.8390469418724578E-2</v>
      </c>
      <c r="G60" s="265">
        <f>IF(OR(E7&lt;&gt;"",F15&lt;&gt;""),I60/(Dashboard!H5/Data!C4),"")</f>
        <v>1.1734154500335643</v>
      </c>
      <c r="H60" s="6"/>
      <c r="I60" s="274">
        <f>(C63*Dashboard!H5/Data!C4-(C32+C33-C34-C35)-C43)*G24</f>
        <v>2156209.361901965</v>
      </c>
      <c r="J60" s="277">
        <f>-Dashboard!C22+(C32+C33-C34-C35)/(Dashboard!H5/Data!C4)</f>
        <v>-0.44465008672736261</v>
      </c>
      <c r="K60" s="276">
        <v>0.25402341861980759</v>
      </c>
    </row>
    <row r="61" spans="1:12" ht="15.75" customHeight="1" x14ac:dyDescent="0.3">
      <c r="B61" s="6"/>
      <c r="C61" s="271"/>
      <c r="D61" s="271"/>
      <c r="E61" s="271"/>
      <c r="F61" s="271"/>
      <c r="G61" s="272"/>
      <c r="H61" s="6"/>
      <c r="I61" s="189"/>
      <c r="J61" s="6"/>
    </row>
    <row r="62" spans="1:12" ht="15.75" customHeight="1" x14ac:dyDescent="0.3">
      <c r="C62" s="284" t="s">
        <v>252</v>
      </c>
      <c r="D62" s="364"/>
      <c r="E62" s="44" t="s">
        <v>253</v>
      </c>
      <c r="F62" s="44" t="s">
        <v>254</v>
      </c>
      <c r="G62" s="44" t="s">
        <v>255</v>
      </c>
      <c r="H62" s="6"/>
    </row>
    <row r="63" spans="1:12" ht="15.75" customHeight="1" x14ac:dyDescent="0.3">
      <c r="B63" s="6" t="s">
        <v>256</v>
      </c>
      <c r="C63" s="197">
        <f>MIN(C57,E57)+(ABS(C57-E57)*'Qualitative Analysis'!E56)</f>
        <v>2.5587085594071994</v>
      </c>
      <c r="D63" s="262" t="str">
        <f>D45</f>
        <v>HKD</v>
      </c>
      <c r="E63" s="263">
        <f>IF(Data!F3&lt;=0,"NNI",C63/((Data!F3*Exchange_Rate)/(Common_Shares/Data!C4)))</f>
        <v>10.270032700943295</v>
      </c>
      <c r="F63" s="263">
        <f>C63/(Data!C25*Exchange_Rate*Data!C4/Common_Shares)</f>
        <v>1.0113007208565215</v>
      </c>
      <c r="G63" s="273">
        <f>IRR(C60:G60)</f>
        <v>4.860666710885031E-3</v>
      </c>
      <c r="H63" s="6"/>
      <c r="I63" s="134" t="s">
        <v>257</v>
      </c>
    </row>
    <row r="64" spans="1:12" ht="15.75" customHeight="1" x14ac:dyDescent="0.3">
      <c r="D64" s="6"/>
      <c r="E64" s="6"/>
      <c r="F64" s="6"/>
      <c r="G64" s="6"/>
    </row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</sheetData>
  <mergeCells count="2">
    <mergeCell ref="I42:K42"/>
    <mergeCell ref="C62:D62"/>
  </mergeCells>
  <conditionalFormatting sqref="C28">
    <cfRule type="containsBlanks" dxfId="4" priority="10">
      <formula>LEN(TRIM(C28))=0</formula>
    </cfRule>
  </conditionalFormatting>
  <conditionalFormatting sqref="C30">
    <cfRule type="containsBlanks" dxfId="3" priority="9">
      <formula>LEN(TRIM(C30))=0</formula>
    </cfRule>
  </conditionalFormatting>
  <conditionalFormatting sqref="C40">
    <cfRule type="containsBlanks" dxfId="2" priority="8">
      <formula>LEN(TRIM(C40))=0</formula>
    </cfRule>
  </conditionalFormatting>
  <conditionalFormatting sqref="E49:F54">
    <cfRule type="cellIs" dxfId="1" priority="23" operator="equal">
      <formula>$E$57</formula>
    </cfRule>
  </conditionalFormatting>
  <conditionalFormatting sqref="E8:E25 F16:F25">
    <cfRule type="containsBlanks" dxfId="0" priority="2">
      <formula>LEN(TRIM(E8))=0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2:H127"/>
  <sheetViews>
    <sheetView showGridLines="0" topLeftCell="A88" workbookViewId="0">
      <selection activeCell="F108" sqref="F108"/>
    </sheetView>
  </sheetViews>
  <sheetFormatPr defaultColWidth="12.453125" defaultRowHeight="15" customHeight="1" x14ac:dyDescent="0.3"/>
  <cols>
    <col min="1" max="1" width="2.453125" style="3" customWidth="1"/>
    <col min="2" max="2" width="62.453125" style="3" customWidth="1"/>
    <col min="3" max="4" width="22.453125" style="3" customWidth="1"/>
    <col min="5" max="5" width="32.6328125" style="3" customWidth="1"/>
    <col min="6" max="16384" width="12.453125" style="3"/>
  </cols>
  <sheetData>
    <row r="2" spans="1:6" x14ac:dyDescent="0.3">
      <c r="A2" s="4"/>
      <c r="B2" s="12" t="s">
        <v>258</v>
      </c>
      <c r="C2" s="199"/>
      <c r="D2" s="8"/>
      <c r="E2" s="8"/>
    </row>
    <row r="3" spans="1:6" ht="15" customHeight="1" x14ac:dyDescent="0.3">
      <c r="B3" s="5" t="s">
        <v>259</v>
      </c>
      <c r="C3" s="5"/>
      <c r="D3" s="200">
        <f t="shared" ref="D3:D6" si="0">IF(LEFT(E3,1)="H",1,IF(LEFT(E3,1)="C",-1,0))</f>
        <v>-1</v>
      </c>
      <c r="E3" s="46" t="s">
        <v>260</v>
      </c>
      <c r="F3" s="6"/>
    </row>
    <row r="4" spans="1:6" ht="15" customHeight="1" x14ac:dyDescent="0.3">
      <c r="B4" s="80" t="s">
        <v>261</v>
      </c>
      <c r="C4" s="80"/>
      <c r="D4" s="200">
        <f t="shared" si="0"/>
        <v>-1</v>
      </c>
      <c r="E4" s="45" t="s">
        <v>262</v>
      </c>
      <c r="F4" s="6"/>
    </row>
    <row r="5" spans="1:6" ht="15" customHeight="1" x14ac:dyDescent="0.3">
      <c r="B5" s="80" t="s">
        <v>263</v>
      </c>
      <c r="C5" s="80"/>
      <c r="D5" s="200">
        <f t="shared" si="0"/>
        <v>-1</v>
      </c>
      <c r="E5" s="45" t="s">
        <v>264</v>
      </c>
      <c r="F5" s="6"/>
    </row>
    <row r="6" spans="1:6" ht="15" customHeight="1" x14ac:dyDescent="0.3">
      <c r="B6" s="80" t="s">
        <v>265</v>
      </c>
      <c r="C6" s="80"/>
      <c r="D6" s="200">
        <f t="shared" si="0"/>
        <v>-1</v>
      </c>
      <c r="E6" s="45" t="s">
        <v>266</v>
      </c>
      <c r="F6" s="6"/>
    </row>
    <row r="7" spans="1:6" ht="15" customHeight="1" x14ac:dyDescent="0.3">
      <c r="B7" s="201" t="s">
        <v>267</v>
      </c>
      <c r="D7" s="200">
        <f>IF(LEFT(E7,1)="H",2,IF(LEFT(E7,1)="C",-1,0))</f>
        <v>-1</v>
      </c>
      <c r="E7" s="75" t="str">
        <f>IF(SUM(D3:D6)&gt;=3, "Hot", IF(SUM(D3:FC6)&lt;=-3,"Cold", "Mixed"))</f>
        <v>Cold</v>
      </c>
      <c r="F7" s="6"/>
    </row>
    <row r="8" spans="1:6" ht="15" customHeight="1" x14ac:dyDescent="0.3">
      <c r="B8" s="80" t="s">
        <v>268</v>
      </c>
      <c r="C8" s="80"/>
      <c r="D8" s="200">
        <f t="shared" ref="D8:D11" si="1">IF(LEFT(E8,1)="H",1,IF(LEFT(E8,1)="C",-1,0))</f>
        <v>-1</v>
      </c>
      <c r="E8" s="45" t="s">
        <v>269</v>
      </c>
      <c r="F8" s="6"/>
    </row>
    <row r="9" spans="1:6" ht="15" customHeight="1" x14ac:dyDescent="0.3">
      <c r="B9" s="80" t="s">
        <v>270</v>
      </c>
      <c r="C9" s="80"/>
      <c r="D9" s="200">
        <f t="shared" si="1"/>
        <v>-1</v>
      </c>
      <c r="E9" s="45" t="s">
        <v>271</v>
      </c>
      <c r="F9" s="6"/>
    </row>
    <row r="10" spans="1:6" ht="15" customHeight="1" x14ac:dyDescent="0.3">
      <c r="B10" s="80" t="s">
        <v>272</v>
      </c>
      <c r="C10" s="80"/>
      <c r="D10" s="200">
        <f t="shared" si="1"/>
        <v>0</v>
      </c>
      <c r="E10" s="45" t="s">
        <v>273</v>
      </c>
      <c r="F10" s="6"/>
    </row>
    <row r="11" spans="1:6" ht="15" customHeight="1" x14ac:dyDescent="0.3">
      <c r="B11" s="80" t="s">
        <v>274</v>
      </c>
      <c r="C11" s="80"/>
      <c r="D11" s="200">
        <f t="shared" si="1"/>
        <v>-1</v>
      </c>
      <c r="E11" s="45" t="s">
        <v>275</v>
      </c>
      <c r="F11" s="6"/>
    </row>
    <row r="12" spans="1:6" ht="15" customHeight="1" x14ac:dyDescent="0.3">
      <c r="B12" s="201" t="s">
        <v>276</v>
      </c>
      <c r="D12" s="200">
        <f>IF(LEFT(E12,1)="H",2,IF(LEFT(E12,1)="C",-1,0))</f>
        <v>-1</v>
      </c>
      <c r="E12" s="75" t="str">
        <f>IF(SUM(D8:D11)&gt;=3, "Hot", IF(SUM(D8:D11)&lt;=-3,"Cold", "Mixed"))</f>
        <v>Cold</v>
      </c>
      <c r="F12" s="6"/>
    </row>
    <row r="13" spans="1:6" ht="15" customHeight="1" x14ac:dyDescent="0.3">
      <c r="B13" s="80" t="s">
        <v>277</v>
      </c>
      <c r="C13" s="80"/>
      <c r="D13" s="200">
        <f t="shared" ref="D13:D16" si="2">IF(LEFT(E13,1)="H",1,IF(LEFT(E13,1)="C",-1,0))</f>
        <v>-1</v>
      </c>
      <c r="E13" s="45" t="s">
        <v>278</v>
      </c>
      <c r="F13" s="6"/>
    </row>
    <row r="14" spans="1:6" ht="15" customHeight="1" x14ac:dyDescent="0.3">
      <c r="B14" s="80" t="s">
        <v>279</v>
      </c>
      <c r="C14" s="80"/>
      <c r="D14" s="200">
        <f t="shared" si="2"/>
        <v>-1</v>
      </c>
      <c r="E14" s="45" t="s">
        <v>280</v>
      </c>
      <c r="F14" s="6"/>
    </row>
    <row r="15" spans="1:6" ht="15" customHeight="1" x14ac:dyDescent="0.3">
      <c r="B15" s="80" t="s">
        <v>281</v>
      </c>
      <c r="C15" s="80"/>
      <c r="D15" s="200">
        <f t="shared" si="2"/>
        <v>-1</v>
      </c>
      <c r="E15" s="45" t="s">
        <v>282</v>
      </c>
      <c r="F15" s="6"/>
    </row>
    <row r="16" spans="1:6" ht="15" customHeight="1" x14ac:dyDescent="0.3">
      <c r="B16" s="80" t="s">
        <v>283</v>
      </c>
      <c r="C16" s="80"/>
      <c r="D16" s="200">
        <f t="shared" si="2"/>
        <v>-1</v>
      </c>
      <c r="E16" s="45" t="s">
        <v>284</v>
      </c>
      <c r="F16" s="6"/>
    </row>
    <row r="17" spans="1:6" ht="15" customHeight="1" x14ac:dyDescent="0.3">
      <c r="B17" s="201" t="s">
        <v>285</v>
      </c>
      <c r="D17" s="200">
        <f>IF(LEFT(E17,1)="H",2,IF(LEFT(E17,1)="C",-1,0))</f>
        <v>-1</v>
      </c>
      <c r="E17" s="75" t="str">
        <f>IF(SUM(D13:D16)&gt;=3, "Hot", IF(SUM(D13:D16)&lt;=-3,"Cold", "Mixed"))</f>
        <v>Cold</v>
      </c>
      <c r="F17" s="6"/>
    </row>
    <row r="18" spans="1:6" ht="15" customHeight="1" x14ac:dyDescent="0.3">
      <c r="B18" s="80" t="s">
        <v>286</v>
      </c>
      <c r="C18" s="80"/>
      <c r="D18" s="200">
        <f t="shared" ref="D18:D21" si="3">IF(LEFT(E18,1)="H",1,IF(LEFT(E18,1)="C",-1,0))</f>
        <v>-1</v>
      </c>
      <c r="E18" s="45" t="s">
        <v>287</v>
      </c>
      <c r="F18" s="6"/>
    </row>
    <row r="19" spans="1:6" ht="15" customHeight="1" x14ac:dyDescent="0.3">
      <c r="B19" s="80" t="s">
        <v>288</v>
      </c>
      <c r="C19" s="80"/>
      <c r="D19" s="200">
        <f t="shared" si="3"/>
        <v>-1</v>
      </c>
      <c r="E19" s="45" t="s">
        <v>289</v>
      </c>
      <c r="F19" s="6"/>
    </row>
    <row r="20" spans="1:6" ht="15" customHeight="1" x14ac:dyDescent="0.3">
      <c r="B20" s="80" t="s">
        <v>290</v>
      </c>
      <c r="C20" s="80"/>
      <c r="D20" s="200">
        <f t="shared" si="3"/>
        <v>-1</v>
      </c>
      <c r="E20" s="45" t="s">
        <v>291</v>
      </c>
      <c r="F20" s="6"/>
    </row>
    <row r="21" spans="1:6" ht="15" customHeight="1" x14ac:dyDescent="0.3">
      <c r="B21" s="80" t="s">
        <v>292</v>
      </c>
      <c r="C21" s="80"/>
      <c r="D21" s="200">
        <f t="shared" si="3"/>
        <v>-1</v>
      </c>
      <c r="E21" s="45" t="s">
        <v>293</v>
      </c>
      <c r="F21" s="6"/>
    </row>
    <row r="22" spans="1:6" ht="15" customHeight="1" x14ac:dyDescent="0.3">
      <c r="B22" s="201" t="s">
        <v>294</v>
      </c>
      <c r="D22" s="200">
        <f>IF(LEFT(E22,1)="H",2,IF(LEFT(E22,1)="C",-1,0))</f>
        <v>-1</v>
      </c>
      <c r="E22" s="75" t="str">
        <f>IF(SUM(D18:D21)&gt;=3, "Hot", IF(SUM(D18:D21)&lt;=-3,"Cold", "Mixed"))</f>
        <v>Cold</v>
      </c>
      <c r="F22" s="202">
        <f>SUM(D7,D12,D17,D22)</f>
        <v>-4</v>
      </c>
    </row>
    <row r="23" spans="1:6" ht="15" customHeight="1" x14ac:dyDescent="0.3">
      <c r="E23" s="6"/>
    </row>
    <row r="24" spans="1:6" x14ac:dyDescent="0.3">
      <c r="A24" s="4"/>
      <c r="B24" s="12" t="s">
        <v>295</v>
      </c>
      <c r="C24" s="203"/>
      <c r="D24" s="13"/>
      <c r="E24" s="13"/>
    </row>
    <row r="25" spans="1:6" ht="14" x14ac:dyDescent="0.3">
      <c r="B25" s="204" t="s">
        <v>296</v>
      </c>
      <c r="C25" s="205"/>
      <c r="D25" s="6"/>
      <c r="E25" s="6"/>
    </row>
    <row r="26" spans="1:6" ht="14" x14ac:dyDescent="0.3">
      <c r="B26" s="6" t="s">
        <v>297</v>
      </c>
      <c r="C26" s="205"/>
      <c r="D26" s="202">
        <f>IF(E26="Strongly disagree",0,IF(E26="disagree",1,IF(E26="unclear",2,IF(E26="agree",3,4))))</f>
        <v>0</v>
      </c>
      <c r="E26" s="45" t="s">
        <v>341</v>
      </c>
      <c r="F26" s="6"/>
    </row>
    <row r="27" spans="1:6" ht="14" x14ac:dyDescent="0.3">
      <c r="B27" s="6" t="s">
        <v>299</v>
      </c>
      <c r="C27" s="205"/>
      <c r="D27" s="202">
        <f t="shared" ref="D27:D28" si="4">IF(E27="Strongly disagree",0,IF(E27="disagree",1,IF(E27="unclear",2,IF(E27="agree",3,4))))</f>
        <v>0</v>
      </c>
      <c r="E27" s="45" t="s">
        <v>341</v>
      </c>
      <c r="F27" s="6"/>
    </row>
    <row r="28" spans="1:6" ht="14" x14ac:dyDescent="0.3">
      <c r="B28" s="6" t="s">
        <v>301</v>
      </c>
      <c r="C28" s="205"/>
      <c r="D28" s="202">
        <f t="shared" si="4"/>
        <v>3</v>
      </c>
      <c r="E28" s="45" t="s">
        <v>300</v>
      </c>
      <c r="F28" s="6"/>
    </row>
    <row r="29" spans="1:6" ht="14" x14ac:dyDescent="0.3">
      <c r="B29" s="206" t="s">
        <v>302</v>
      </c>
      <c r="C29" s="205"/>
      <c r="D29" s="202">
        <f>AVERAGE(D26:D28)</f>
        <v>1</v>
      </c>
      <c r="E29" s="207">
        <f>D29/4</f>
        <v>0.25</v>
      </c>
      <c r="F29" s="6"/>
    </row>
    <row r="30" spans="1:6" ht="14" x14ac:dyDescent="0.3">
      <c r="B30" s="205"/>
      <c r="C30" s="205"/>
      <c r="E30" s="6"/>
    </row>
    <row r="31" spans="1:6" ht="14" x14ac:dyDescent="0.3">
      <c r="B31" s="208" t="s">
        <v>303</v>
      </c>
      <c r="C31" s="201"/>
    </row>
    <row r="32" spans="1:6" ht="14" x14ac:dyDescent="0.3">
      <c r="B32" s="201" t="s">
        <v>304</v>
      </c>
      <c r="C32" s="201"/>
      <c r="E32" s="6"/>
    </row>
    <row r="33" spans="2:6" ht="14" x14ac:dyDescent="0.3">
      <c r="B33" s="80" t="s">
        <v>305</v>
      </c>
      <c r="D33" s="209">
        <f>IF(E33="Strongly disagree",0,IF(E33="disagree",1,IF(E33="unclear",2,IF(E33="agree",3,4))))</f>
        <v>1</v>
      </c>
      <c r="E33" s="210" t="str">
        <f>IF(D29&gt;=3.5,"Strongly agree",IF(D29&gt;=2.5,"agree",IF(D29&gt;=1.5,"unclear",IF(D29&gt;=0.5,"disagree","Strongly disagree"))))</f>
        <v>disagree</v>
      </c>
      <c r="F33" s="6"/>
    </row>
    <row r="34" spans="2:6" ht="14" x14ac:dyDescent="0.3">
      <c r="B34" s="80" t="s">
        <v>306</v>
      </c>
      <c r="D34" s="209">
        <f>IF(E34="Strongly disagree",0,IF(E34="disagree",1,IF(E34="unclear",2,IF(E34="agree",3,4))))</f>
        <v>2</v>
      </c>
      <c r="E34" s="45" t="s">
        <v>308</v>
      </c>
      <c r="F34" s="6"/>
    </row>
    <row r="35" spans="2:6" ht="14" x14ac:dyDescent="0.3">
      <c r="B35" s="80" t="s">
        <v>307</v>
      </c>
      <c r="D35" s="209">
        <f>IF(E35="Strongly disagree",0,IF(E35="disagree",1,IF(E35="unclear",2,IF(E35="agree",3,4))))</f>
        <v>2</v>
      </c>
      <c r="E35" s="45" t="s">
        <v>308</v>
      </c>
      <c r="F35" s="6"/>
    </row>
    <row r="36" spans="2:6" ht="14" x14ac:dyDescent="0.3">
      <c r="B36" s="80" t="s">
        <v>309</v>
      </c>
      <c r="D36" s="209">
        <f>IF(E36="Strongly disagree",0,IF(E36="disagree",1,IF(E36="unclear",2,IF(E36="agree",3,4))))</f>
        <v>4</v>
      </c>
      <c r="E36" s="45" t="s">
        <v>298</v>
      </c>
      <c r="F36" s="6"/>
    </row>
    <row r="37" spans="2:6" ht="14" x14ac:dyDescent="0.3">
      <c r="B37" s="80" t="s">
        <v>311</v>
      </c>
      <c r="D37" s="209">
        <f>IF(E37="Strongly disagree",0,IF(E37="disagree",1,IF(E37="unclear",2,IF(E37="agree",3,4))))</f>
        <v>3</v>
      </c>
      <c r="E37" s="45" t="s">
        <v>300</v>
      </c>
      <c r="F37" s="6"/>
    </row>
    <row r="38" spans="2:6" ht="14" x14ac:dyDescent="0.3">
      <c r="B38" s="201" t="s">
        <v>312</v>
      </c>
      <c r="D38" s="54"/>
      <c r="E38" s="26"/>
    </row>
    <row r="39" spans="2:6" ht="14" x14ac:dyDescent="0.3">
      <c r="B39" s="80" t="s">
        <v>313</v>
      </c>
      <c r="D39" s="209">
        <f>IF(E39="Strongly disagree",0,IF(E39="disagree",1,IF(E39="unclear",2,IF(E39="agree",3,4))))</f>
        <v>4</v>
      </c>
      <c r="E39" s="75" t="str">
        <f>IF(OR('Asset Model'!H19&lt;1,'Asset Model'!H37&lt;1),"Strongly disagree",
IF(OR('Asset Model'!H19&lt;2,'Asset Model'!H37&lt;2),"unclear", IF(OR('Asset Model'!H19&lt;5,'Asset Model'!H37&lt;5),"agree","Strongly agree"))
)</f>
        <v>Strongly agree</v>
      </c>
      <c r="F39" s="6"/>
    </row>
    <row r="40" spans="2:6" ht="14" x14ac:dyDescent="0.3">
      <c r="B40" s="80" t="s">
        <v>314</v>
      </c>
      <c r="D40" s="209">
        <f t="shared" ref="D40:D43" si="5">IF(E40="Strongly disagree",0,IF(E40="disagree",1,IF(E40="unclear",2,IF(E40="agree",3,4))))</f>
        <v>2</v>
      </c>
      <c r="E40" s="45" t="s">
        <v>308</v>
      </c>
      <c r="F40" s="6"/>
    </row>
    <row r="41" spans="2:6" ht="15" customHeight="1" x14ac:dyDescent="0.3">
      <c r="B41" s="80" t="s">
        <v>315</v>
      </c>
      <c r="D41" s="209">
        <f t="shared" si="5"/>
        <v>2</v>
      </c>
      <c r="E41" s="45" t="s">
        <v>308</v>
      </c>
      <c r="F41" s="6"/>
    </row>
    <row r="42" spans="2:6" ht="15" customHeight="1" x14ac:dyDescent="0.3">
      <c r="B42" s="80" t="s">
        <v>316</v>
      </c>
      <c r="D42" s="209">
        <f t="shared" si="5"/>
        <v>2</v>
      </c>
      <c r="E42" s="45" t="s">
        <v>308</v>
      </c>
      <c r="F42" s="6"/>
    </row>
    <row r="43" spans="2:6" ht="15" customHeight="1" x14ac:dyDescent="0.3">
      <c r="B43" s="80" t="s">
        <v>317</v>
      </c>
      <c r="D43" s="209">
        <f t="shared" si="5"/>
        <v>3</v>
      </c>
      <c r="E43" s="45" t="s">
        <v>300</v>
      </c>
      <c r="F43" s="6"/>
    </row>
    <row r="44" spans="2:6" ht="15" customHeight="1" x14ac:dyDescent="0.3">
      <c r="B44" s="201" t="s">
        <v>318</v>
      </c>
      <c r="D44" s="54"/>
      <c r="E44" s="26"/>
    </row>
    <row r="45" spans="2:6" ht="14" x14ac:dyDescent="0.3">
      <c r="B45" s="80" t="s">
        <v>319</v>
      </c>
      <c r="D45" s="209">
        <f t="shared" ref="D45:D49" si="6">IF(E45="Strongly disagree",0,IF(E45="disagree",1,IF(E45="unclear",2,IF(E45="agree",3,4))))</f>
        <v>3</v>
      </c>
      <c r="E45" s="45" t="s">
        <v>300</v>
      </c>
      <c r="F45" s="6"/>
    </row>
    <row r="46" spans="2:6" ht="15" customHeight="1" x14ac:dyDescent="0.3">
      <c r="B46" s="80" t="s">
        <v>320</v>
      </c>
      <c r="D46" s="209">
        <f t="shared" si="6"/>
        <v>2</v>
      </c>
      <c r="E46" s="45" t="s">
        <v>308</v>
      </c>
      <c r="F46" s="6"/>
    </row>
    <row r="47" spans="2:6" ht="15" customHeight="1" x14ac:dyDescent="0.3">
      <c r="B47" s="80" t="s">
        <v>321</v>
      </c>
      <c r="D47" s="209">
        <f t="shared" si="6"/>
        <v>3</v>
      </c>
      <c r="E47" s="45" t="s">
        <v>300</v>
      </c>
      <c r="F47" s="6"/>
    </row>
    <row r="48" spans="2:6" ht="15" customHeight="1" x14ac:dyDescent="0.3">
      <c r="B48" s="80" t="s">
        <v>322</v>
      </c>
      <c r="D48" s="209">
        <f t="shared" si="6"/>
        <v>3</v>
      </c>
      <c r="E48" s="45" t="s">
        <v>300</v>
      </c>
      <c r="F48" s="6"/>
    </row>
    <row r="49" spans="2:6" ht="14" x14ac:dyDescent="0.3">
      <c r="B49" s="80" t="s">
        <v>323</v>
      </c>
      <c r="D49" s="209">
        <f t="shared" si="6"/>
        <v>3</v>
      </c>
      <c r="E49" s="45" t="s">
        <v>300</v>
      </c>
      <c r="F49" s="6"/>
    </row>
    <row r="50" spans="2:6" ht="14" x14ac:dyDescent="0.3">
      <c r="B50" s="201" t="s">
        <v>324</v>
      </c>
      <c r="D50" s="54"/>
      <c r="E50" s="26"/>
    </row>
    <row r="51" spans="2:6" ht="14" x14ac:dyDescent="0.3">
      <c r="B51" s="80" t="s">
        <v>325</v>
      </c>
      <c r="D51" s="44"/>
      <c r="E51" s="75" t="str">
        <f>E67</f>
        <v>Low</v>
      </c>
      <c r="F51" s="6"/>
    </row>
    <row r="52" spans="2:6" ht="14" x14ac:dyDescent="0.3">
      <c r="B52" s="80" t="s">
        <v>326</v>
      </c>
      <c r="D52" s="44"/>
      <c r="E52" s="75" t="str">
        <f>E77</f>
        <v>Very Low</v>
      </c>
      <c r="F52" s="6"/>
    </row>
    <row r="53" spans="2:6" ht="14" x14ac:dyDescent="0.3">
      <c r="B53" s="80" t="s">
        <v>327</v>
      </c>
      <c r="D53" s="44"/>
      <c r="E53" s="75" t="str">
        <f>E85</f>
        <v>Medium</v>
      </c>
      <c r="F53" s="6"/>
    </row>
    <row r="54" spans="2:6" ht="14" x14ac:dyDescent="0.3">
      <c r="B54" s="80" t="s">
        <v>328</v>
      </c>
      <c r="D54" s="44"/>
      <c r="E54" s="75" t="str">
        <f>E95</f>
        <v>Medium</v>
      </c>
      <c r="F54" s="6"/>
    </row>
    <row r="55" spans="2:6" ht="14" x14ac:dyDescent="0.3">
      <c r="B55" s="80" t="s">
        <v>329</v>
      </c>
      <c r="D55" s="44"/>
      <c r="E55" s="75" t="str">
        <f>E102</f>
        <v>Very High</v>
      </c>
      <c r="F55" s="6"/>
    </row>
    <row r="56" spans="2:6" ht="14" x14ac:dyDescent="0.3">
      <c r="B56" s="206" t="s">
        <v>330</v>
      </c>
      <c r="D56" s="202">
        <f>E56*4</f>
        <v>2.5114937641723358</v>
      </c>
      <c r="E56" s="62">
        <f>AVERAGE(AVERAGE(D33:D37)/4,AVERAGE(D39:D43)/4,AVERAGE(D45:D49)/4,E114)</f>
        <v>0.62787344104308396</v>
      </c>
      <c r="F56" s="6"/>
    </row>
    <row r="57" spans="2:6" ht="14" x14ac:dyDescent="0.3">
      <c r="E57" s="6"/>
    </row>
    <row r="58" spans="2:6" ht="14" x14ac:dyDescent="0.3">
      <c r="B58" s="208" t="s">
        <v>331</v>
      </c>
      <c r="C58" s="80"/>
      <c r="D58" s="54"/>
      <c r="E58" s="26"/>
    </row>
    <row r="59" spans="2:6" ht="14" x14ac:dyDescent="0.3">
      <c r="B59" s="3" t="s">
        <v>332</v>
      </c>
      <c r="D59" s="209">
        <f>IF(E59="Strongly disagree",0,IF(E59="disagree",1,IF(E59="unclear",2,IF(E59="agree",3,4))))</f>
        <v>3</v>
      </c>
      <c r="E59" s="45" t="s">
        <v>300</v>
      </c>
      <c r="F59" s="6"/>
    </row>
    <row r="60" spans="2:6" ht="14" x14ac:dyDescent="0.3">
      <c r="B60" s="3" t="s">
        <v>333</v>
      </c>
      <c r="D60" s="209">
        <f>IF(E60="Strongly disagree",0,IF(E60="disagree",1,IF(E60="unclear",2,IF(E60="agree",3,4))))</f>
        <v>3</v>
      </c>
      <c r="E60" s="210" t="str">
        <f>IF(D56&gt;=3.5,"Strongly agree",IF(D56&gt;=2.5,"agree",IF(D56&gt;=1.5,"unclear",IF(D56&gt;=0.5,"disagree","Strongly disagree"))))</f>
        <v>agree</v>
      </c>
      <c r="F60" s="6"/>
    </row>
    <row r="61" spans="2:6" ht="14" x14ac:dyDescent="0.3">
      <c r="B61" s="3" t="s">
        <v>334</v>
      </c>
      <c r="C61" s="80"/>
      <c r="D61" s="209">
        <f>IF(E61="Strongly disagree",0,IF(E61="disagree",1,IF(E61="unclear",2,IF(E61="agree",3,4))))</f>
        <v>1</v>
      </c>
      <c r="E61" s="211" t="str">
        <f>E33</f>
        <v>disagree</v>
      </c>
      <c r="F61" s="6"/>
    </row>
    <row r="62" spans="2:6" ht="14" x14ac:dyDescent="0.3">
      <c r="B62" s="3" t="s">
        <v>335</v>
      </c>
      <c r="D62" s="209">
        <f t="shared" ref="D62" si="7">IF(E62="Strongly disagree",0,IF(E62="disagree",1,IF(E62="unclear",2,IF(E62="agree",3,4))))</f>
        <v>0</v>
      </c>
      <c r="E62" s="75" t="str">
        <f>IF(OR(F22=4,F22=-4),"Strongly disagree",IF(F22=0,"Strongly agree",IF(OR(F22=1,F22=-1),"agree",IF(OR(F22=3,F22=-3),"disagree","unclear"))))</f>
        <v>Strongly disagree</v>
      </c>
      <c r="F62" s="6"/>
    </row>
    <row r="63" spans="2:6" ht="14" x14ac:dyDescent="0.3">
      <c r="B63" s="206" t="s">
        <v>336</v>
      </c>
      <c r="D63" s="209"/>
      <c r="E63" s="207">
        <f>SUM(D59:D62)/12</f>
        <v>0.58333333333333337</v>
      </c>
      <c r="F63" s="6"/>
    </row>
    <row r="64" spans="2:6" ht="15" customHeight="1" x14ac:dyDescent="0.3">
      <c r="E64" s="6"/>
    </row>
    <row r="65" spans="1:6" ht="15" customHeight="1" x14ac:dyDescent="0.3">
      <c r="A65" s="4"/>
      <c r="B65" s="12" t="s">
        <v>337</v>
      </c>
      <c r="C65" s="22"/>
      <c r="D65" s="22"/>
      <c r="E65" s="13"/>
    </row>
    <row r="66" spans="1:6" ht="15" customHeight="1" x14ac:dyDescent="0.3">
      <c r="B66" s="5" t="s">
        <v>338</v>
      </c>
      <c r="C66" s="6"/>
      <c r="D66" s="26"/>
      <c r="E66" s="6"/>
    </row>
    <row r="67" spans="1:6" ht="15" customHeight="1" x14ac:dyDescent="0.3">
      <c r="B67" s="80" t="s">
        <v>339</v>
      </c>
      <c r="D67" s="212">
        <f>SUM(D68:D75)/(8*4)</f>
        <v>0.3125</v>
      </c>
      <c r="E67" s="75" t="str">
        <f>IF(D67&gt;80%,"Very High",IF(D67&lt;=20%,"Very Low",IF(D67&lt;=40%,"Low",IF(D67&lt;=60%,"Medium","High"))))</f>
        <v>Low</v>
      </c>
      <c r="F67" s="6"/>
    </row>
    <row r="68" spans="1:6" ht="15" customHeight="1" x14ac:dyDescent="0.3">
      <c r="B68" s="80" t="s">
        <v>340</v>
      </c>
      <c r="D68" s="209">
        <f t="shared" ref="D68:D75" si="8">IF(E68="Strongly disagree",0,IF(E68="disagree",1,IF(E68="unclear",2,IF(E68="agree",3,4))))</f>
        <v>0</v>
      </c>
      <c r="E68" s="45" t="s">
        <v>341</v>
      </c>
      <c r="F68" s="6"/>
    </row>
    <row r="69" spans="1:6" ht="15" customHeight="1" x14ac:dyDescent="0.3">
      <c r="B69" s="80" t="s">
        <v>342</v>
      </c>
      <c r="D69" s="209">
        <f t="shared" si="8"/>
        <v>4</v>
      </c>
      <c r="E69" s="45" t="s">
        <v>298</v>
      </c>
      <c r="F69" s="6"/>
    </row>
    <row r="70" spans="1:6" ht="15" customHeight="1" x14ac:dyDescent="0.3">
      <c r="B70" s="80" t="s">
        <v>343</v>
      </c>
      <c r="D70" s="209">
        <f t="shared" si="8"/>
        <v>4</v>
      </c>
      <c r="E70" s="45" t="s">
        <v>298</v>
      </c>
      <c r="F70" s="6"/>
    </row>
    <row r="71" spans="1:6" ht="15" customHeight="1" x14ac:dyDescent="0.3">
      <c r="B71" s="80" t="s">
        <v>344</v>
      </c>
      <c r="D71" s="209">
        <f t="shared" si="8"/>
        <v>0</v>
      </c>
      <c r="E71" s="45" t="s">
        <v>341</v>
      </c>
      <c r="F71" s="6"/>
    </row>
    <row r="72" spans="1:6" ht="15" customHeight="1" x14ac:dyDescent="0.3">
      <c r="B72" s="80" t="s">
        <v>345</v>
      </c>
      <c r="D72" s="209">
        <f t="shared" si="8"/>
        <v>0</v>
      </c>
      <c r="E72" s="45" t="s">
        <v>341</v>
      </c>
      <c r="F72" s="6"/>
    </row>
    <row r="73" spans="1:6" ht="15" customHeight="1" x14ac:dyDescent="0.3">
      <c r="B73" s="80" t="s">
        <v>346</v>
      </c>
      <c r="D73" s="209">
        <f t="shared" si="8"/>
        <v>1</v>
      </c>
      <c r="E73" s="45" t="s">
        <v>310</v>
      </c>
      <c r="F73" s="6"/>
    </row>
    <row r="74" spans="1:6" ht="15" customHeight="1" x14ac:dyDescent="0.3">
      <c r="B74" s="80" t="s">
        <v>347</v>
      </c>
      <c r="D74" s="209">
        <f t="shared" si="8"/>
        <v>0</v>
      </c>
      <c r="E74" s="45" t="s">
        <v>341</v>
      </c>
      <c r="F74" s="6"/>
    </row>
    <row r="75" spans="1:6" ht="15" customHeight="1" x14ac:dyDescent="0.3">
      <c r="B75" s="80" t="s">
        <v>348</v>
      </c>
      <c r="D75" s="209">
        <f t="shared" si="8"/>
        <v>1</v>
      </c>
      <c r="E75" s="45" t="s">
        <v>310</v>
      </c>
      <c r="F75" s="6"/>
    </row>
    <row r="76" spans="1:6" ht="15" customHeight="1" x14ac:dyDescent="0.3">
      <c r="E76" s="6"/>
    </row>
    <row r="77" spans="1:6" ht="15" customHeight="1" x14ac:dyDescent="0.3">
      <c r="B77" s="80" t="s">
        <v>349</v>
      </c>
      <c r="D77" s="212">
        <f>SUM(D78:D83)/(6*4)</f>
        <v>0</v>
      </c>
      <c r="E77" s="75" t="str">
        <f>IF(D77&gt;80%,"Very High",IF(D77&lt;=20%,"Very Low",IF(D77&lt;=40%,"Low",IF(D77&lt;=60%,"Medium","High"))))</f>
        <v>Very Low</v>
      </c>
      <c r="F77" s="6"/>
    </row>
    <row r="78" spans="1:6" ht="15" customHeight="1" x14ac:dyDescent="0.3">
      <c r="B78" s="80" t="s">
        <v>350</v>
      </c>
      <c r="D78" s="209">
        <f t="shared" ref="D78:D83" si="9">IF(E78="Strongly disagree",0,IF(E78="disagree",1,IF(E78="unclear",2,IF(E78="agree",3,4))))</f>
        <v>0</v>
      </c>
      <c r="E78" s="45" t="s">
        <v>341</v>
      </c>
      <c r="F78" s="6"/>
    </row>
    <row r="79" spans="1:6" ht="15" customHeight="1" x14ac:dyDescent="0.3">
      <c r="B79" s="80" t="s">
        <v>351</v>
      </c>
      <c r="D79" s="209">
        <f t="shared" si="9"/>
        <v>0</v>
      </c>
      <c r="E79" s="45" t="s">
        <v>341</v>
      </c>
      <c r="F79" s="6"/>
    </row>
    <row r="80" spans="1:6" ht="15" customHeight="1" x14ac:dyDescent="0.3">
      <c r="B80" s="80" t="s">
        <v>352</v>
      </c>
      <c r="D80" s="209">
        <f t="shared" si="9"/>
        <v>0</v>
      </c>
      <c r="E80" s="45" t="s">
        <v>341</v>
      </c>
      <c r="F80" s="6"/>
    </row>
    <row r="81" spans="2:6" ht="15" customHeight="1" x14ac:dyDescent="0.3">
      <c r="B81" s="80" t="s">
        <v>353</v>
      </c>
      <c r="D81" s="209">
        <f t="shared" si="9"/>
        <v>0</v>
      </c>
      <c r="E81" s="45" t="s">
        <v>341</v>
      </c>
      <c r="F81" s="6"/>
    </row>
    <row r="82" spans="2:6" ht="15" customHeight="1" x14ac:dyDescent="0.3">
      <c r="B82" s="80" t="s">
        <v>354</v>
      </c>
      <c r="D82" s="209">
        <f t="shared" si="9"/>
        <v>0</v>
      </c>
      <c r="E82" s="45" t="s">
        <v>341</v>
      </c>
      <c r="F82" s="6"/>
    </row>
    <row r="83" spans="2:6" ht="15" customHeight="1" x14ac:dyDescent="0.3">
      <c r="B83" s="80" t="s">
        <v>355</v>
      </c>
      <c r="D83" s="209">
        <f t="shared" si="9"/>
        <v>0</v>
      </c>
      <c r="E83" s="45" t="s">
        <v>341</v>
      </c>
      <c r="F83" s="6"/>
    </row>
    <row r="84" spans="2:6" ht="15" customHeight="1" x14ac:dyDescent="0.3">
      <c r="E84" s="6"/>
    </row>
    <row r="85" spans="2:6" ht="15" customHeight="1" x14ac:dyDescent="0.3">
      <c r="B85" s="80" t="s">
        <v>356</v>
      </c>
      <c r="D85" s="212">
        <f>SUM(D86:D93)/(8*4)</f>
        <v>0.59375</v>
      </c>
      <c r="E85" s="75" t="str">
        <f>IF(D85&gt;80%,"Very High",IF(D85&lt;=20%,"Very Low",IF(D85&lt;=40%,"Low",IF(D85&lt;=60%,"Medium","High"))))</f>
        <v>Medium</v>
      </c>
      <c r="F85" s="6"/>
    </row>
    <row r="86" spans="2:6" ht="15" customHeight="1" x14ac:dyDescent="0.3">
      <c r="B86" s="80" t="s">
        <v>357</v>
      </c>
      <c r="D86" s="209">
        <f t="shared" ref="D86:D93" si="10">IF(E86="Strongly disagree",0,IF(E86="disagree",1,IF(E86="unclear",2,IF(E86="agree",3,4))))</f>
        <v>4</v>
      </c>
      <c r="E86" s="45" t="s">
        <v>298</v>
      </c>
      <c r="F86" s="6"/>
    </row>
    <row r="87" spans="2:6" ht="15" customHeight="1" x14ac:dyDescent="0.3">
      <c r="B87" s="80" t="s">
        <v>358</v>
      </c>
      <c r="D87" s="209">
        <f t="shared" si="10"/>
        <v>1</v>
      </c>
      <c r="E87" s="45" t="s">
        <v>310</v>
      </c>
      <c r="F87" s="6"/>
    </row>
    <row r="88" spans="2:6" ht="15" customHeight="1" x14ac:dyDescent="0.3">
      <c r="B88" s="80" t="s">
        <v>359</v>
      </c>
      <c r="D88" s="209">
        <f t="shared" si="10"/>
        <v>4</v>
      </c>
      <c r="E88" s="45" t="s">
        <v>298</v>
      </c>
      <c r="F88" s="6"/>
    </row>
    <row r="89" spans="2:6" ht="15" customHeight="1" x14ac:dyDescent="0.3">
      <c r="B89" s="80" t="s">
        <v>360</v>
      </c>
      <c r="D89" s="209">
        <f t="shared" si="10"/>
        <v>0</v>
      </c>
      <c r="E89" s="45" t="s">
        <v>341</v>
      </c>
      <c r="F89" s="6"/>
    </row>
    <row r="90" spans="2:6" ht="15" customHeight="1" x14ac:dyDescent="0.3">
      <c r="B90" s="80" t="s">
        <v>361</v>
      </c>
      <c r="D90" s="209">
        <f t="shared" si="10"/>
        <v>4</v>
      </c>
      <c r="E90" s="45" t="s">
        <v>298</v>
      </c>
      <c r="F90" s="6"/>
    </row>
    <row r="91" spans="2:6" ht="15" customHeight="1" x14ac:dyDescent="0.3">
      <c r="B91" s="80" t="s">
        <v>362</v>
      </c>
      <c r="D91" s="209">
        <f t="shared" si="10"/>
        <v>2</v>
      </c>
      <c r="E91" s="45" t="s">
        <v>308</v>
      </c>
      <c r="F91" s="6"/>
    </row>
    <row r="92" spans="2:6" ht="15" customHeight="1" x14ac:dyDescent="0.3">
      <c r="B92" s="80" t="s">
        <v>363</v>
      </c>
      <c r="D92" s="209">
        <f t="shared" si="10"/>
        <v>2</v>
      </c>
      <c r="E92" s="45" t="s">
        <v>308</v>
      </c>
      <c r="F92" s="6"/>
    </row>
    <row r="93" spans="2:6" ht="15" customHeight="1" x14ac:dyDescent="0.3">
      <c r="B93" s="80" t="s">
        <v>364</v>
      </c>
      <c r="D93" s="209">
        <f t="shared" si="10"/>
        <v>2</v>
      </c>
      <c r="E93" s="45" t="s">
        <v>308</v>
      </c>
      <c r="F93" s="6"/>
    </row>
    <row r="94" spans="2:6" ht="15" customHeight="1" x14ac:dyDescent="0.3">
      <c r="E94" s="6"/>
    </row>
    <row r="95" spans="2:6" ht="15" customHeight="1" x14ac:dyDescent="0.3">
      <c r="B95" s="80" t="s">
        <v>365</v>
      </c>
      <c r="D95" s="212">
        <f>SUM(D96:D100)/(3*4)</f>
        <v>0.42517006802721086</v>
      </c>
      <c r="E95" s="75" t="str">
        <f>IF(D95&gt;80%,"Very High",IF(D95&lt;=20%,"Very Low",IF(D95&lt;=40%,"Low",IF(D95&lt;=60%,"Medium","High"))))</f>
        <v>Medium</v>
      </c>
      <c r="F95" s="6"/>
    </row>
    <row r="96" spans="2:6" ht="15" customHeight="1" x14ac:dyDescent="0.3">
      <c r="B96" s="80" t="s">
        <v>366</v>
      </c>
      <c r="D96" s="209">
        <f t="shared" ref="D96:D99" si="11">IF(E96="Strongly disagree",0,IF(E96="disagree",1,IF(E96="unclear",2,IF(E96="agree",3,4))))</f>
        <v>0</v>
      </c>
      <c r="E96" s="45" t="s">
        <v>341</v>
      </c>
      <c r="F96" s="6"/>
    </row>
    <row r="97" spans="2:6" ht="15" customHeight="1" x14ac:dyDescent="0.3">
      <c r="B97" s="80" t="s">
        <v>367</v>
      </c>
      <c r="D97" s="209">
        <f t="shared" si="11"/>
        <v>0</v>
      </c>
      <c r="E97" s="45" t="s">
        <v>341</v>
      </c>
      <c r="F97" s="6"/>
    </row>
    <row r="98" spans="2:6" ht="15" customHeight="1" x14ac:dyDescent="0.3">
      <c r="B98" s="80" t="s">
        <v>368</v>
      </c>
      <c r="D98" s="209">
        <f t="shared" si="11"/>
        <v>0</v>
      </c>
      <c r="E98" s="45" t="s">
        <v>341</v>
      </c>
      <c r="F98" s="6"/>
    </row>
    <row r="99" spans="2:6" ht="15" customHeight="1" x14ac:dyDescent="0.3">
      <c r="B99" s="80" t="s">
        <v>369</v>
      </c>
      <c r="D99" s="209">
        <f t="shared" si="11"/>
        <v>2</v>
      </c>
      <c r="E99" s="45" t="s">
        <v>308</v>
      </c>
      <c r="F99" s="6"/>
    </row>
    <row r="100" spans="2:6" ht="15" customHeight="1" x14ac:dyDescent="0.3">
      <c r="B100" s="80" t="s">
        <v>370</v>
      </c>
      <c r="D100" s="213">
        <f t="array" ref="D100">(1-INDEX(B118:E127,MATCH(E100,B118:B127,0),4))*4</f>
        <v>3.1020408163265305</v>
      </c>
      <c r="E100" s="45" t="s">
        <v>403</v>
      </c>
      <c r="F100" s="6"/>
    </row>
    <row r="101" spans="2:6" ht="15" customHeight="1" x14ac:dyDescent="0.3">
      <c r="E101" s="6"/>
    </row>
    <row r="102" spans="2:6" ht="15" customHeight="1" x14ac:dyDescent="0.3">
      <c r="B102" s="80" t="s">
        <v>371</v>
      </c>
      <c r="D102" s="214">
        <f>SUM(D103:D111)/(9*4)</f>
        <v>0.86111111111111116</v>
      </c>
      <c r="E102" s="75" t="str">
        <f>IF(D102&gt;80%,"Very High",IF(D102&lt;=20%,"Very Low",IF(D102&lt;=40%,"Low",IF(D102&lt;=60%,"Medium","High"))))</f>
        <v>Very High</v>
      </c>
      <c r="F102" s="6"/>
    </row>
    <row r="103" spans="2:6" ht="15" customHeight="1" x14ac:dyDescent="0.3">
      <c r="B103" s="80" t="s">
        <v>372</v>
      </c>
      <c r="D103" s="209">
        <f t="shared" ref="D103:D110" si="12">IF(E103="Strongly disagree",0,IF(E103="disagree",1,IF(E103="unclear",2,IF(E103="agree",3,4))))</f>
        <v>4</v>
      </c>
      <c r="E103" s="45" t="s">
        <v>298</v>
      </c>
      <c r="F103" s="6"/>
    </row>
    <row r="104" spans="2:6" ht="15" customHeight="1" x14ac:dyDescent="0.3">
      <c r="B104" s="80" t="s">
        <v>373</v>
      </c>
      <c r="D104" s="209">
        <f t="shared" si="12"/>
        <v>1</v>
      </c>
      <c r="E104" s="45" t="s">
        <v>310</v>
      </c>
      <c r="F104" s="6"/>
    </row>
    <row r="105" spans="2:6" ht="15" customHeight="1" x14ac:dyDescent="0.3">
      <c r="B105" s="80" t="s">
        <v>374</v>
      </c>
      <c r="D105" s="209">
        <f t="shared" si="12"/>
        <v>4</v>
      </c>
      <c r="E105" s="45" t="s">
        <v>298</v>
      </c>
      <c r="F105" s="6"/>
    </row>
    <row r="106" spans="2:6" ht="15" customHeight="1" x14ac:dyDescent="0.3">
      <c r="B106" s="80" t="s">
        <v>375</v>
      </c>
      <c r="D106" s="209">
        <f t="shared" si="12"/>
        <v>4</v>
      </c>
      <c r="E106" s="45" t="s">
        <v>298</v>
      </c>
      <c r="F106" s="6"/>
    </row>
    <row r="107" spans="2:6" ht="15" customHeight="1" x14ac:dyDescent="0.3">
      <c r="B107" s="80" t="s">
        <v>376</v>
      </c>
      <c r="D107" s="209">
        <f t="shared" si="12"/>
        <v>4</v>
      </c>
      <c r="E107" s="45" t="s">
        <v>298</v>
      </c>
      <c r="F107" s="6"/>
    </row>
    <row r="108" spans="2:6" ht="15" customHeight="1" x14ac:dyDescent="0.3">
      <c r="B108" s="80" t="s">
        <v>377</v>
      </c>
      <c r="D108" s="209">
        <f t="shared" si="12"/>
        <v>4</v>
      </c>
      <c r="E108" s="45" t="s">
        <v>298</v>
      </c>
      <c r="F108" s="6"/>
    </row>
    <row r="109" spans="2:6" ht="15" customHeight="1" x14ac:dyDescent="0.3">
      <c r="B109" s="80" t="s">
        <v>378</v>
      </c>
      <c r="D109" s="209">
        <f t="shared" si="12"/>
        <v>4</v>
      </c>
      <c r="E109" s="45" t="s">
        <v>298</v>
      </c>
      <c r="F109" s="6"/>
    </row>
    <row r="110" spans="2:6" ht="15" customHeight="1" x14ac:dyDescent="0.3">
      <c r="B110" s="80" t="s">
        <v>379</v>
      </c>
      <c r="D110" s="209">
        <f t="shared" si="12"/>
        <v>4</v>
      </c>
      <c r="E110" s="45" t="s">
        <v>298</v>
      </c>
      <c r="F110" s="6"/>
    </row>
    <row r="111" spans="2:6" ht="15" customHeight="1" x14ac:dyDescent="0.3">
      <c r="B111" s="80" t="s">
        <v>380</v>
      </c>
      <c r="D111" s="209">
        <f>IF(E111="Strongly disagree",0,IF(E111="disagree",1,IF(E111="non-perishable",2,IF(E111="agree",3,4))))</f>
        <v>2</v>
      </c>
      <c r="E111" s="45" t="s">
        <v>404</v>
      </c>
      <c r="F111" s="6"/>
    </row>
    <row r="112" spans="2:6" ht="15" customHeight="1" x14ac:dyDescent="0.3">
      <c r="E112" s="6"/>
    </row>
    <row r="113" spans="2:8" ht="15" customHeight="1" x14ac:dyDescent="0.3">
      <c r="B113" s="80" t="s">
        <v>381</v>
      </c>
      <c r="D113" s="6"/>
      <c r="E113" s="215" t="str">
        <f>IF(E114&gt;80%,"Very Low",IF(E114&lt;=20%,"Very High",IF(E114&lt;=40%,"High",IF(E114&lt;=60%,"Medium","Low"))))</f>
        <v>Medium</v>
      </c>
      <c r="F113" s="6"/>
    </row>
    <row r="114" spans="2:8" ht="15" customHeight="1" x14ac:dyDescent="0.3">
      <c r="B114" s="80" t="s">
        <v>382</v>
      </c>
      <c r="D114" s="6"/>
      <c r="E114" s="37">
        <f>1-AVERAGE(D67,D77,D85,D95,D102)</f>
        <v>0.56149376417233565</v>
      </c>
      <c r="F114" s="5"/>
    </row>
    <row r="115" spans="2:8" ht="15" customHeight="1" x14ac:dyDescent="0.3">
      <c r="E115" s="6"/>
    </row>
    <row r="116" spans="2:8" ht="15" customHeight="1" x14ac:dyDescent="0.3">
      <c r="B116" s="81" t="s">
        <v>383</v>
      </c>
      <c r="C116" s="7"/>
      <c r="D116" s="7"/>
      <c r="E116" s="83"/>
      <c r="F116" s="80"/>
      <c r="G116" s="80"/>
      <c r="H116" s="80"/>
    </row>
    <row r="117" spans="2:8" ht="15" customHeight="1" x14ac:dyDescent="0.3">
      <c r="B117" s="216" t="s">
        <v>384</v>
      </c>
      <c r="C117" s="217"/>
      <c r="D117" s="217"/>
      <c r="E117" s="218"/>
      <c r="F117" s="80"/>
      <c r="G117" s="80"/>
      <c r="H117" s="80"/>
    </row>
    <row r="118" spans="2:8" ht="15" customHeight="1" x14ac:dyDescent="0.3">
      <c r="B118" s="219" t="s">
        <v>385</v>
      </c>
      <c r="C118" s="217"/>
      <c r="D118" s="217">
        <v>1</v>
      </c>
      <c r="E118" s="220">
        <f t="shared" ref="E118:E126" si="13">D118/MAX($D$118:$D$127)</f>
        <v>3.4013605442176874E-2</v>
      </c>
      <c r="F118" s="80"/>
      <c r="G118" s="80"/>
      <c r="H118" s="80"/>
    </row>
    <row r="119" spans="2:8" ht="15" customHeight="1" x14ac:dyDescent="0.3">
      <c r="B119" s="219" t="str">
        <f t="shared" ref="B119:B127" si="14">C119&amp;", "&amp;D119&amp;"y"</f>
        <v>Information Technology Like, 6.6y</v>
      </c>
      <c r="C119" s="217" t="s">
        <v>386</v>
      </c>
      <c r="D119" s="217">
        <v>6.6</v>
      </c>
      <c r="E119" s="220">
        <f t="shared" si="13"/>
        <v>0.22448979591836735</v>
      </c>
      <c r="F119" s="80"/>
      <c r="G119" s="80"/>
      <c r="H119" s="80"/>
    </row>
    <row r="120" spans="2:8" ht="15" customHeight="1" x14ac:dyDescent="0.3">
      <c r="B120" s="219" t="str">
        <f t="shared" si="14"/>
        <v>Healthcare, 11.4y</v>
      </c>
      <c r="C120" s="217" t="s">
        <v>387</v>
      </c>
      <c r="D120" s="217">
        <v>11.4</v>
      </c>
      <c r="E120" s="220">
        <f t="shared" si="13"/>
        <v>0.38775510204081637</v>
      </c>
      <c r="F120" s="80"/>
      <c r="G120" s="80"/>
      <c r="H120" s="80"/>
    </row>
    <row r="121" spans="2:8" ht="15" customHeight="1" x14ac:dyDescent="0.3">
      <c r="B121" s="219" t="str">
        <f t="shared" si="14"/>
        <v>Consumer Discretionary, 12.4y</v>
      </c>
      <c r="C121" s="217" t="s">
        <v>388</v>
      </c>
      <c r="D121" s="217">
        <v>12.4</v>
      </c>
      <c r="E121" s="220">
        <f t="shared" si="13"/>
        <v>0.42176870748299322</v>
      </c>
      <c r="F121" s="80"/>
      <c r="G121" s="80"/>
      <c r="H121" s="80"/>
    </row>
    <row r="122" spans="2:8" ht="15" customHeight="1" x14ac:dyDescent="0.3">
      <c r="B122" s="219" t="str">
        <f t="shared" si="14"/>
        <v>Consumer Staples, 15.1y</v>
      </c>
      <c r="C122" s="217" t="s">
        <v>389</v>
      </c>
      <c r="D122" s="217">
        <v>15.1</v>
      </c>
      <c r="E122" s="220">
        <f t="shared" si="13"/>
        <v>0.51360544217687076</v>
      </c>
      <c r="F122" s="80"/>
      <c r="G122" s="80"/>
      <c r="H122" s="80"/>
    </row>
    <row r="123" spans="2:8" ht="15" customHeight="1" x14ac:dyDescent="0.3">
      <c r="B123" s="219" t="str">
        <f t="shared" si="14"/>
        <v>Industrials, 15.4y</v>
      </c>
      <c r="C123" s="217" t="s">
        <v>390</v>
      </c>
      <c r="D123" s="217">
        <v>15.4</v>
      </c>
      <c r="E123" s="220">
        <f t="shared" si="13"/>
        <v>0.52380952380952384</v>
      </c>
      <c r="F123" s="80"/>
      <c r="G123" s="80"/>
      <c r="H123" s="80"/>
    </row>
    <row r="124" spans="2:8" ht="15" customHeight="1" x14ac:dyDescent="0.3">
      <c r="B124" s="219" t="str">
        <f t="shared" si="14"/>
        <v>Telecommunication Services, 16.1y</v>
      </c>
      <c r="C124" s="217" t="s">
        <v>391</v>
      </c>
      <c r="D124" s="217">
        <v>16.100000000000001</v>
      </c>
      <c r="E124" s="220">
        <f t="shared" si="13"/>
        <v>0.54761904761904767</v>
      </c>
      <c r="F124" s="80"/>
      <c r="G124" s="80"/>
      <c r="H124" s="80"/>
    </row>
    <row r="125" spans="2:8" ht="15" customHeight="1" x14ac:dyDescent="0.3">
      <c r="B125" s="219" t="str">
        <f t="shared" si="14"/>
        <v>Energy, 17.6y</v>
      </c>
      <c r="C125" s="217" t="s">
        <v>392</v>
      </c>
      <c r="D125" s="217">
        <v>17.600000000000001</v>
      </c>
      <c r="E125" s="220">
        <f t="shared" si="13"/>
        <v>0.59863945578231303</v>
      </c>
      <c r="F125" s="80"/>
      <c r="G125" s="80"/>
      <c r="H125" s="80"/>
    </row>
    <row r="126" spans="2:8" ht="15" customHeight="1" x14ac:dyDescent="0.3">
      <c r="B126" s="219" t="str">
        <f t="shared" si="14"/>
        <v>Materials, 18.6y</v>
      </c>
      <c r="C126" s="217" t="s">
        <v>393</v>
      </c>
      <c r="D126" s="217">
        <v>18.600000000000001</v>
      </c>
      <c r="E126" s="220">
        <f t="shared" si="13"/>
        <v>0.63265306122448983</v>
      </c>
      <c r="F126" s="80"/>
      <c r="G126" s="80"/>
      <c r="H126" s="80"/>
    </row>
    <row r="127" spans="2:8" ht="15" customHeight="1" x14ac:dyDescent="0.3">
      <c r="B127" s="221" t="str">
        <f t="shared" si="14"/>
        <v>Utilities, 29.4y</v>
      </c>
      <c r="C127" s="222" t="s">
        <v>394</v>
      </c>
      <c r="D127" s="222">
        <v>29.4</v>
      </c>
      <c r="E127" s="223">
        <f>D127/MAX($D$119:$D$127)</f>
        <v>1</v>
      </c>
      <c r="F127" s="80"/>
      <c r="G127" s="80"/>
      <c r="H127" s="80"/>
    </row>
  </sheetData>
  <dataValidations count="21">
    <dataValidation type="list" allowBlank="1" sqref="E6" xr:uid="{00000000-0002-0000-0400-000000000000}">
      <formula1>"Hot - Loose,Cold - Tight,Mixed"</formula1>
    </dataValidation>
    <dataValidation type="list" allowBlank="1" sqref="E10" xr:uid="{00000000-0002-0000-0400-000001000000}">
      <formula1>"Hot - Low,Cold - High,Mixed"</formula1>
    </dataValidation>
    <dataValidation type="list" allowBlank="1" sqref="E9" xr:uid="{00000000-0002-0000-0400-000002000000}">
      <formula1>"Hot - Easy,Cold - Restrictive,Mixed"</formula1>
    </dataValidation>
    <dataValidation type="list" allowBlank="1" sqref="E67 E77 E85 E95 E102" xr:uid="{00000000-0002-0000-0400-000003000000}">
      <formula1>"Very High,High,Medium,Low,Very Low"</formula1>
    </dataValidation>
    <dataValidation type="list" allowBlank="1" sqref="E4" xr:uid="{00000000-0002-0000-0400-000004000000}">
      <formula1>"Hot - Positive,Cold - Negative,Mixed"</formula1>
    </dataValidation>
    <dataValidation type="list" allowBlank="1" sqref="E26:E29 E40:E43 E45:E49 E103:E110 E68:E75 E78:E83 E86:E93 E96:E99 E34:E37 E59" xr:uid="{00000000-0002-0000-0400-000005000000}">
      <formula1>"Strongly agree,agree,unclear,disagree,Strongly disagree"</formula1>
    </dataValidation>
    <dataValidation type="list" allowBlank="1" sqref="E20" xr:uid="{00000000-0002-0000-0400-000006000000}">
      <formula1>"Hot - Strong,Cold - Weak,Mixed"</formula1>
    </dataValidation>
    <dataValidation type="list" allowBlank="1" sqref="E18" xr:uid="{00000000-0002-0000-0400-000007000000}">
      <formula1>"Hot - Average person joins the market,Cold - ""Worse is yet to come"",Mixed - ""Market has bottomed"""</formula1>
    </dataValidation>
    <dataValidation type="list" allowBlank="1" sqref="E13" xr:uid="{00000000-0002-0000-0400-000008000000}">
      <formula1>"Hot - Happy to hold,Cold - Rushing for the exits,Mixed"</formula1>
    </dataValidation>
    <dataValidation type="list" allowBlank="1" sqref="E111" xr:uid="{00000000-0002-0000-0400-000009000000}">
      <formula1>"Strongly agree,agree,non-perishable,disagree,Strongly disagree"</formula1>
    </dataValidation>
    <dataValidation type="list" allowBlank="1" sqref="E21" xr:uid="{00000000-0002-0000-0400-00000A000000}">
      <formula1>"Hot - Aggressiveness,Cold - Caution and discipline,Hot - Broad reach,Cold - ""It's uninvestable"",Mixed"</formula1>
    </dataValidation>
    <dataValidation type="list" allowBlank="1" sqref="E16" xr:uid="{00000000-0002-0000-0400-00000B000000}">
      <formula1>"Hot - Few,Cold - Many,Mixed"</formula1>
    </dataValidation>
    <dataValidation type="list" allowBlank="1" sqref="E14" xr:uid="{00000000-0002-0000-0400-00000C000000}">
      <formula1>"Hot - High,Cold - Low,Mixed"</formula1>
    </dataValidation>
    <dataValidation type="list" allowBlank="1" sqref="E15" xr:uid="{00000000-0002-0000-0400-00000D000000}">
      <formula1>"Hot - Optimistic,Cold - Pessimistic,Hot - Sanguine,Cold - Distressed,Hot - Eager to buy,Cold - Uninterested in buying,Mixed"</formula1>
    </dataValidation>
    <dataValidation type="list" allowBlank="1" sqref="E5" xr:uid="{00000000-0002-0000-0400-00000E000000}">
      <formula1>"Hot - Eager,Cold - Reticent,Mixed"</formula1>
    </dataValidation>
    <dataValidation type="list" allowBlank="1" sqref="E3" xr:uid="{00000000-0002-0000-0400-00000F000000}">
      <formula1>"Hot - Vibrant,Cold - Sluggish,Mixed"</formula1>
    </dataValidation>
    <dataValidation type="list" allowBlank="1" sqref="E19" xr:uid="{00000000-0002-0000-0400-000010000000}">
      <formula1>"Hot - Hard to gain entry,Cold - Open to anyone,Hot - 
New ones daily,Cold - Only the best can raise money,Hot - GP hold the cards on terms,Cold - LP have bargaining power,Mixed"</formula1>
    </dataValidation>
    <dataValidation type="list" allowBlank="1" sqref="E8" xr:uid="{00000000-0002-0000-0400-000011000000}">
      <formula1>"Hot - Plentiful,Cold - Scarce,Mixed"</formula1>
    </dataValidation>
    <dataValidation type="list" allowBlank="1" sqref="E11" xr:uid="{00000000-0002-0000-0400-000012000000}">
      <formula1>"Hot - Narrow,Cold - Wide,Mixed"</formula1>
    </dataValidation>
    <dataValidation allowBlank="1" sqref="E33 E60:E62" xr:uid="{FBCCA791-86B6-4660-95B3-845402529B68}"/>
    <dataValidation type="list" allowBlank="1" showInputMessage="1" showErrorMessage="1" sqref="E100" xr:uid="{B3C242EB-7F6A-4B7F-83D0-5CE118336997}">
      <formula1>B118:B127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Dashboard</vt:lpstr>
      <vt:lpstr>Data</vt:lpstr>
      <vt:lpstr>Asset Model</vt:lpstr>
      <vt:lpstr>FCF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dcterms:created xsi:type="dcterms:W3CDTF">2022-08-10T03:52:42Z</dcterms:created>
  <dcterms:modified xsi:type="dcterms:W3CDTF">2022-12-09T06:58:15Z</dcterms:modified>
  <cp:category/>
  <cp:contentStatus/>
</cp:coreProperties>
</file>