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6821A639-125A-43D8-89C3-74B1EEBB1E5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<sst xmlns="http://schemas.openxmlformats.org/spreadsheetml/2006/main" count="471" uniqueCount="400">
  <si>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</si>
  <si>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</si>
  <si>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</si>
  <si>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</si>
  <si>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</si>
  <si>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</si>
  <si>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</si>
  <si>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</si>
  <si>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</si>
  <si>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</si>
  <si>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</si>
  <si>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</si>
  <si>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</si>
  <si>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</si>
  <si>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</si>
  <si>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</si>
  <si>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</si>
  <si>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</si>
  <si>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</si>
  <si>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</si>
  <si>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</si>
  <si>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</si>
  <si>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</si>
  <si>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</si>
  <si>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</si>
  <si>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</si>
  <si>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</si>
  <si>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</si>
  <si>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</si>
  <si>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</si>
  <si>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</si>
  <si>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</si>
  <si>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</si>
  <si>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</si>
  <si>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</si>
  <si>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</si>
  <si>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</si>
  <si>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</si>
  <si>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</si>
  <si>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</si>
  <si>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</si>
  <si>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</si>
  <si>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</si>
  <si>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</si>
  <si>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</si>
  <si>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</si>
  <si>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</si>
  <si>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</si>
  <si>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</si>
  <si>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</si>
  <si>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</si>
  <si>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</si>
  <si>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</si>
  <si>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</si>
  <si>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</si>
  <si>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</si>
  <si>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</si>
  <si>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</si>
  <si>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</si>
  <si>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</si>
  <si>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</si>
  <si>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</si>
  <si>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</si>
  <si>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</si>
  <si>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</si>
  <si>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</si>
  <si>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</si>
  <si>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</si>
  <si>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</si>
  <si>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</si>
  <si>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</si>
  <si>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</si>
  <si>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</si>
  <si>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</si>
  <si>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</si>
  <si>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</si>
  <si>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</si>
  <si>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</si>
  <si>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</si>
  <si>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</si>
  <si>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</si>
  <si>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</si>
  <si>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</si>
  <si>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</si>
  <si>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</si>
  <si>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</si>
  <si>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</si>
  <si>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</si>
  <si>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</si>
  <si>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</si>
  <si>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</si>
  <si>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</si>
  <si>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</si>
  <si>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</si>
  <si>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</si>
  <si>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</si>
  <si>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</si>
  <si>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</si>
  <si>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</si>
  <si>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</si>
  <si>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</si>
  <si>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</si>
  <si>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</si>
  <si>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</si>
  <si>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</si>
  <si>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</si>
  <si>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</si>
  <si>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</si>
  <si>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</si>
  <si>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</si>
  <si>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</si>
  <si>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</si>
  <si>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</si>
  <si>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</si>
  <si>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</si>
  <si>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</si>
  <si>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</si>
  <si>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</si>
  <si>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</si>
  <si>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</si>
  <si>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</si>
  <si>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</si>
  <si>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</si>
  <si>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</si>
  <si>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</si>
  <si>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</si>
  <si>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</si>
  <si>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</si>
  <si>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</si>
  <si>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</si>
  <si>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</si>
  <si>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</si>
  <si>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</si>
  <si>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</si>
  <si>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</si>
  <si>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</si>
  <si>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</si>
  <si>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</si>
  <si>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</si>
  <si>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</si>
  <si>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</si>
  <si>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</si>
  <si>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</si>
  <si>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</si>
  <si>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</si>
  <si>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</si>
  <si>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</si>
  <si>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</si>
  <si>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</si>
  <si>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</si>
  <si>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</si>
  <si>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</si>
  <si>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</si>
  <si>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</si>
  <si>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</si>
  <si>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</si>
  <si>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</si>
  <si>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</si>
  <si>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</si>
  <si>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</si>
  <si>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</si>
  <si>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</si>
  <si>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</si>
  <si>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</si>
  <si>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</si>
  <si>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</si>
  <si>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</si>
  <si>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</si>
  <si>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</si>
  <si>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</si>
  <si>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</si>
  <si>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</si>
  <si>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</si>
  <si>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</si>
  <si>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</si>
  <si>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</si>
  <si>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</si>
  <si>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</si>
  <si>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</si>
  <si>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</si>
  <si>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</si>
  <si>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</si>
  <si>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</si>
  <si>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</si>
  <si>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</si>
  <si>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</si>
  <si>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</si>
  <si>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</si>
  <si>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</si>
  <si>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</si>
  <si>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</si>
  <si>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</si>
  <si>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</si>
  <si>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</si>
  <si>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</si>
  <si>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</si>
  <si>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</si>
  <si>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</si>
  <si>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</si>
  <si>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</si>
  <si>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</si>
  <si>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</si>
  <si>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</si>
  <si>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</si>
  <si>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</si>
  <si>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</si>
  <si>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</si>
  <si>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</si>
  <si>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</si>
  <si>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</si>
  <si>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</si>
  <si>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</si>
  <si>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</si>
  <si>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</si>
  <si>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</si>
  <si>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</si>
  <si>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</si>
  <si>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</si>
  <si>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</si>
  <si>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</si>
  <si>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</si>
  <si>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</si>
  <si>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</si>
  <si>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</si>
  <si>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</si>
  <si>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</si>
  <si>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</si>
  <si>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</si>
  <si>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</si>
  <si>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</si>
  <si>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</si>
  <si>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</si>
  <si>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</si>
  <si>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</si>
  <si>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</si>
  <si>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</si>
  <si>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</si>
  <si>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</si>
  <si>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</si>
  <si>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</si>
  <si>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</si>
  <si>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</si>
  <si>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</si>
  <si>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</si>
  <si>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</si>
  <si>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</si>
  <si>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</si>
  <si>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</si>
  <si>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</si>
  <si>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</si>
  <si>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</si>
  <si>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</si>
  <si>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</si>
  <si>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</si>
  <si>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</si>
  <si>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</si>
  <si>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</si>
  <si>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</si>
  <si>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</si>
  <si>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</si>
  <si>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</si>
  <si>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</si>
  <si>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</si>
  <si>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</si>
  <si>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</si>
  <si>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</si>
  <si>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</si>
  <si>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</si>
  <si>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</si>
  <si>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</si>
  <si>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</si>
  <si>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</si>
  <si>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</si>
  <si>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</si>
  <si>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</si>
  <si>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</si>
  <si>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</si>
  <si>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</si>
  <si>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</si>
  <si>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</si>
  <si>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</si>
  <si>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</si>
  <si>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</si>
  <si>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</si>
  <si>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</si>
  <si>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</si>
  <si>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</si>
  <si>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</si>
  <si>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</si>
  <si>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</si>
  <si>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</si>
  <si>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</si>
  <si>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</si>
  <si>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</si>
  <si>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</si>
  <si>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</si>
  <si>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</si>
  <si>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</si>
  <si>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</si>
  <si>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</si>
  <si>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</si>
  <si>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</si>
  <si>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</si>
  <si>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</si>
  <si>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</si>
  <si>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</si>
  <si>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</si>
  <si>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</si>
  <si>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</si>
  <si>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</si>
  <si>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</si>
  <si>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</si>
  <si>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</si>
  <si>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</si>
  <si>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</si>
  <si>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</si>
  <si>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</si>
  <si>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</si>
  <si>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</si>
  <si>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</si>
  <si>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</si>
  <si>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</si>
  <si>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</si>
  <si>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</si>
  <si>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</si>
  <si>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</si>
  <si>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</si>
  <si>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</si>
  <si>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</si>
  <si>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</si>
  <si>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</si>
  <si>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</si>
  <si>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</si>
  <si>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</si>
  <si>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</si>
  <si>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</si>
  <si>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</si>
  <si>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</si>
  <si>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</si>
  <si>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</si>
  <si>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</si>
  <si>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</si>
  <si>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</si>
  <si>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</si>
  <si>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</si>
  <si>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</si>
  <si>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</si>
  <si>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</si>
  <si>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</si>
  <si>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</si>
  <si>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</si>
  <si>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</si>
  <si>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</si>
  <si>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</si>
  <si>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</si>
  <si>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</si>
  <si>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</si>
  <si>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</si>
  <si>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</si>
  <si>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</si>
  <si>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</si>
  <si>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</si>
  <si>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</si>
  <si>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</si>
  <si>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</si>
  <si>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</si>
  <si>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</si>
  <si>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</si>
  <si>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</si>
  <si>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</si>
  <si>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</si>
  <si>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</si>
  <si>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</si>
  <si>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</si>
  <si>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</si>
  <si>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</si>
  <si>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</si>
  <si>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</si>
  <si>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</si>
  <si>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</si>
  <si>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</si>
  <si>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</si>
  <si>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</si>
  <si>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</si>
  <si>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</si>
  <si>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</si>
  <si>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</si>
  <si>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</si>
  <si>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</si>
  <si>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</si>
  <si>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</si>
  <si>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</si>
  <si>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</si>
  <si>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</si>
  <si>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</si>
  <si>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</si>
  <si>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NISSIN FOODS</t>
  </si>
  <si>
    <t>1475.HK</t>
  </si>
  <si>
    <t>HKG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</si>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</sst>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topLeftCell="A10" zoomScale="103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1475.HK : NISSIN FOODS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397</v>
      </c>
      <c r="D3" s="287"/>
      <c r="E3" s="16"/>
      <c r="G3" s="7" t="s">
        <v>2</v>
      </c>
      <c r="H3" s="291" t="s">
        <v>398</v>
      </c>
      <c r="I3" s="292"/>
    </row>
    <row r="4" spans="1:11" ht="15.75" customHeight="1" x14ac:dyDescent="0.3">
      <c r="B4" s="5" t="s">
        <v>3</v>
      </c>
      <c r="C4" s="288" t="s">
        <v>396</v>
      </c>
      <c r="D4" s="289"/>
      <c r="E4" s="6"/>
      <c r="G4" s="5" t="s">
        <v>4</v>
      </c>
      <c r="H4" s="47">
        <v>6.5</v>
      </c>
      <c r="I4" s="48" t="s">
        <v>5</v>
      </c>
    </row>
    <row r="5" spans="1:11" ht="15.75" customHeight="1" x14ac:dyDescent="0.3">
      <c r="B5" s="5" t="s">
        <v>6</v>
      </c>
      <c r="C5" s="290">
        <v>44902</v>
      </c>
      <c r="D5" s="289"/>
      <c r="E5" s="268" t="str">
        <f ca="1">IF(C5+30&gt;=TODAY(),"Patience Premium","")</f>
        <v>Patience Premium</v>
      </c>
      <c r="G5" s="5" t="s">
        <v>7</v>
      </c>
      <c r="H5" s="293">
        <v>1043689984</v>
      </c>
      <c r="I5" s="294"/>
    </row>
    <row r="6" spans="1:11" ht="15.75" customHeight="1" x14ac:dyDescent="0.3">
      <c r="B6" s="13" t="s">
        <v>8</v>
      </c>
      <c r="C6" s="299">
        <v>45015</v>
      </c>
      <c r="D6" s="300"/>
      <c r="E6" s="268"/>
      <c r="G6" s="8" t="s">
        <v>9</v>
      </c>
      <c r="H6" s="304">
        <f>H4*H5/1000000</f>
        <v>6783.9848959999999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22.328887390930845</v>
      </c>
      <c r="I9" s="72">
        <f>IF(H9="NNI","NNI",1/H9)</f>
        <v>4.4785034851587024E-2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>
        <f>IF('FCF Model'!C4&lt;=0,"Negative PEG",IFERROR(H9/('FCF Model'!C4*100),"NNI"))</f>
        <v>1.2723831759008088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1.7187960536516897</v>
      </c>
      <c r="I11" s="43">
        <f>IF('Asset Model'!D53/'FCF Model'!C16&lt;0,"Negative EV",'Asset Model'!D53/'FCF Model'!C16)</f>
        <v>12.7738973786894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5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6.29624391846016</v>
      </c>
      <c r="D16" s="303"/>
      <c r="E16" s="302">
        <f>'Asset Model'!D6</f>
        <v>2.126264838001263</v>
      </c>
      <c r="F16" s="303"/>
      <c r="G16" s="36" t="s">
        <v>25</v>
      </c>
      <c r="H16" s="295">
        <f>C22/E16-1</f>
        <v>1.4926339867342771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21.628941760173859</v>
      </c>
      <c r="D17" s="33">
        <f>'FCF Model'!F63</f>
        <v>1.664916799981196</v>
      </c>
      <c r="E17" s="33">
        <f>'Asset Model'!H5</f>
        <v>7.3041735586193877</v>
      </c>
      <c r="F17" s="33">
        <f>'Asset Model'!H6</f>
        <v>0.56224855578075694</v>
      </c>
      <c r="G17" s="10" t="s">
        <v>27</v>
      </c>
      <c r="H17" s="297">
        <f ca="1">AVERAGE((1-'Qualitative Analysis'!E29),(1-'Qualitative Analysis'!E63),H16)+IF(C5+30&gt;=TODAY(),20%,0)</f>
        <v>0.75310021780031455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v>0.14560000000000001</v>
      </c>
      <c r="D19" s="332"/>
      <c r="E19" s="6"/>
      <c r="F19" s="6"/>
      <c r="G19" s="24" t="s">
        <v>399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5.3</v>
      </c>
      <c r="D22" s="314"/>
      <c r="E22" s="278" t="s">
        <v>32</v>
      </c>
      <c r="F22" s="270">
        <f>IF(Data!F3&lt;=0,"NNI",C22/((Data!F3*H13)/(H5/Data!C4)))</f>
        <v>18.206631257220536</v>
      </c>
      <c r="G22" s="44" t="s">
        <v>33</v>
      </c>
      <c r="H22" s="348">
        <f>'FCF Model'!G63</f>
        <v>5.3589096572356443E-2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0.18426960724461661</v>
      </c>
      <c r="D23" s="346"/>
      <c r="E23" s="279" t="s">
        <v>35</v>
      </c>
      <c r="F23" s="33">
        <f>C22/(Data!C25*H13*Data!C4/Common_Shares)</f>
        <v>1.4014798591313777</v>
      </c>
      <c r="G23" s="44" t="s">
        <v>36</v>
      </c>
      <c r="H23" s="349">
        <f ca="1">D10+D12*(1+H17)</f>
        <v>0.10888950980101415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7.5380097443602453E-2</v>
      </c>
      <c r="D24" s="344"/>
      <c r="E24" s="6"/>
      <c r="F24" s="6"/>
      <c r="G24" s="269" t="s">
        <v>38</v>
      </c>
      <c r="H24" s="337">
        <f ca="1">H22-H23</f>
        <v>-5.530041322865771E-2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2.747169811320755E-2</v>
      </c>
      <c r="D25" s="334"/>
      <c r="E25" s="6"/>
      <c r="F25" s="6"/>
      <c r="G25" s="269" t="s">
        <v>40</v>
      </c>
      <c r="H25" s="335">
        <f>C19/H4</f>
        <v>2.24E-2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/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50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51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353426.25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0.17548870351199564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3866335</v>
      </c>
      <c r="D7" s="51">
        <v>3518847</v>
      </c>
      <c r="E7" s="51">
        <v>3087781</v>
      </c>
      <c r="F7" s="51">
        <v>2998828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9.8750528227001588E-2</v>
      </c>
      <c r="D8" s="15">
        <f t="shared" si="0"/>
        <v>0.13960381257608612</v>
      </c>
      <c r="E8" s="15">
        <f t="shared" si="0"/>
        <v>2.9662588184450778E-2</v>
      </c>
      <c r="F8" s="15">
        <f t="shared" si="0"/>
        <v>0.11541548727371453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2639016</v>
      </c>
      <c r="D9" s="51">
        <v>2360170</v>
      </c>
      <c r="E9" s="51">
        <v>2074351</v>
      </c>
      <c r="F9" s="51">
        <v>2065429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0.31743731466621489</v>
      </c>
      <c r="D10" s="15">
        <f t="shared" si="1"/>
        <v>0.32927745934961083</v>
      </c>
      <c r="E10" s="15">
        <f t="shared" si="1"/>
        <v>0.32820656646310087</v>
      </c>
      <c r="F10" s="15">
        <f t="shared" si="1"/>
        <v>0.31125459679581491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756084</v>
      </c>
      <c r="D11" s="51">
        <v>664065</v>
      </c>
      <c r="E11" s="51">
        <v>672083</v>
      </c>
      <c r="F11" s="51">
        <v>643276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0.19555573947937774</v>
      </c>
      <c r="D12" s="15">
        <f t="shared" si="2"/>
        <v>0.18871664496921861</v>
      </c>
      <c r="E12" s="15">
        <f t="shared" si="2"/>
        <v>0.21765889485037965</v>
      </c>
      <c r="F12" s="15">
        <f t="shared" si="2"/>
        <v>0.21450913490203508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0.12188157518683715</v>
      </c>
      <c r="D13" s="15">
        <f t="shared" si="3"/>
        <v>0.14056081438039222</v>
      </c>
      <c r="E13" s="15">
        <f t="shared" si="3"/>
        <v>0.11054767161272123</v>
      </c>
      <c r="F13" s="15">
        <f t="shared" si="3"/>
        <v>9.6745461893779833E-2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471235</v>
      </c>
      <c r="D14" s="34">
        <f t="shared" si="4"/>
        <v>494612</v>
      </c>
      <c r="E14" s="34">
        <f t="shared" si="4"/>
        <v>341347</v>
      </c>
      <c r="F14" s="34">
        <f t="shared" si="4"/>
        <v>290123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-4.726330942233508E-2</v>
      </c>
      <c r="D15" s="15">
        <f t="shared" ref="D15:M15" si="5">IF(E14="","",IF(ABS(D14+E14)=ABS(D14)+ABS(E14),IF(D14&lt;0,-1,1)*(D14-E14)/E14,"Turn"))</f>
        <v>0.44900057712532992</v>
      </c>
      <c r="E15" s="15">
        <f t="shared" si="5"/>
        <v>0.17655959713638697</v>
      </c>
      <c r="F15" s="15">
        <f t="shared" si="5"/>
        <v>0.27437527178806898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353426.25</v>
      </c>
      <c r="D16" s="34">
        <f>IF(D14="","",D14*(1-'FCF Model'!$D$17))</f>
        <v>370959</v>
      </c>
      <c r="E16" s="34">
        <f>IF(E14="","",E14*(1-'FCF Model'!$D$17))</f>
        <v>256010.25</v>
      </c>
      <c r="F16" s="34">
        <f>IF(F14="","",F14*(1-'FCF Model'!$D$17))</f>
        <v>217592.25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365</v>
      </c>
      <c r="D17" s="51">
        <v>116</v>
      </c>
      <c r="E17" s="51">
        <v>64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303821</v>
      </c>
      <c r="D18" s="51">
        <v>301912</v>
      </c>
      <c r="E18" s="51">
        <v>250964</v>
      </c>
      <c r="F18" s="51">
        <v>205448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7.8581136916485508E-2</v>
      </c>
      <c r="D19" s="15">
        <f t="shared" si="6"/>
        <v>8.579855844826445E-2</v>
      </c>
      <c r="E19" s="15">
        <f t="shared" si="6"/>
        <v>8.1276489491968501E-2</v>
      </c>
      <c r="F19" s="15">
        <f t="shared" si="6"/>
        <v>6.8509431017717587E-2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2925507</v>
      </c>
      <c r="D20" s="51">
        <v>3296593</v>
      </c>
      <c r="E20" s="51">
        <v>2995218</v>
      </c>
      <c r="F20" s="51">
        <v>2922746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972761</v>
      </c>
      <c r="D21" s="51">
        <v>1065331</v>
      </c>
      <c r="E21" s="51">
        <v>859227</v>
      </c>
      <c r="F21" s="51">
        <v>796096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890177</v>
      </c>
      <c r="D22" s="51">
        <v>7278</v>
      </c>
      <c r="E22" s="51">
        <v>1660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2335</v>
      </c>
      <c r="D23" s="51">
        <v>9396</v>
      </c>
      <c r="E23" s="51">
        <v>131</v>
      </c>
      <c r="F23" s="51">
        <v>0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16674</v>
      </c>
      <c r="E24" s="34">
        <f t="shared" si="7"/>
        <v>1791</v>
      </c>
      <c r="F24" s="34">
        <f t="shared" si="7"/>
        <v>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3946940</v>
      </c>
      <c r="D25" s="51">
        <v>4043183</v>
      </c>
      <c r="E25" s="51">
        <v>3712318</v>
      </c>
      <c r="F25" s="51">
        <v>3595173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138648</v>
      </c>
      <c r="D26" s="51">
        <v>147504</v>
      </c>
      <c r="E26" s="51">
        <v>122753</v>
      </c>
      <c r="F26" s="51">
        <v>114637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1659687</v>
      </c>
      <c r="D27" s="51">
        <v>1607247</v>
      </c>
      <c r="E27" s="51">
        <v>1505261</v>
      </c>
      <c r="F27" s="51">
        <v>1384707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1835208</v>
      </c>
      <c r="D28" s="51">
        <v>1704401</v>
      </c>
      <c r="E28" s="51">
        <v>1517342</v>
      </c>
      <c r="F28" s="51">
        <v>1400067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7.127638937929652E-2</v>
      </c>
      <c r="D29" s="15">
        <f t="shared" si="8"/>
        <v>0.10975058099590414</v>
      </c>
      <c r="E29" s="15">
        <f t="shared" si="8"/>
        <v>7.7289760647237082E-2</v>
      </c>
      <c r="F29" s="15">
        <f t="shared" si="8"/>
        <v>7.4768564647263308E-2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22829.961599999999</v>
      </c>
      <c r="D30" s="34">
        <f t="shared" ref="D30:M30" si="9">IF(E7="","",(D7-E7)*$D$49)</f>
        <v>28321.036199999999</v>
      </c>
      <c r="E30" s="34">
        <f t="shared" si="9"/>
        <v>5844.2120999999997</v>
      </c>
      <c r="F30" s="34">
        <f t="shared" si="9"/>
        <v>20386.578599999997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153636.96160000001</v>
      </c>
      <c r="D31" s="34">
        <f t="shared" si="10"/>
        <v>215380.0362</v>
      </c>
      <c r="E31" s="34">
        <f t="shared" si="10"/>
        <v>123119.2121</v>
      </c>
      <c r="F31" s="34">
        <f t="shared" si="10"/>
        <v>125067.57859999999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0.43470727372400891</v>
      </c>
      <c r="D32" s="15">
        <f t="shared" si="11"/>
        <v>0.58060334484403942</v>
      </c>
      <c r="E32" s="15">
        <f t="shared" si="11"/>
        <v>0.48091516687320141</v>
      </c>
      <c r="F32" s="15">
        <f t="shared" si="11"/>
        <v>0.5747795640699519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2452610</v>
      </c>
      <c r="E33" s="70">
        <f t="shared" si="12"/>
        <v>2208848</v>
      </c>
      <c r="F33" s="70">
        <f t="shared" si="12"/>
        <v>2210466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5.2097145765815103E-2</v>
      </c>
      <c r="D35" s="72">
        <f>IF(D16="","",(D16*$C$4)/(Dashboard!$H$6*1000000))</f>
        <v>5.468157811181542E-2</v>
      </c>
      <c r="E35" s="72">
        <f>IF(E16="","",(E16*$C$4)/(Dashboard!$H$6*1000000))</f>
        <v>3.7737443983837549E-2</v>
      </c>
      <c r="F35" s="72">
        <f>IF(F16="","",(F16*$C$4)/(Dashboard!$H$6*1000000))</f>
        <v>3.2074400715175179E-2</v>
      </c>
      <c r="G35" s="72">
        <f>IF(G16="","",(G16*$C$4)/(Dashboard!$H$6*1000000))</f>
        <v>2.5168724962915955E-2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4.4785034851587031E-2</v>
      </c>
      <c r="D36" s="73">
        <f>IF(D18="","",(D18*$C$4)/(Dashboard!$H$6*1000000))</f>
        <v>4.4503636819417824E-2</v>
      </c>
      <c r="E36" s="73">
        <f>IF(E18="","",(E18*$C$4)/(Dashboard!$H$6*1000000))</f>
        <v>3.6993596514045067E-2</v>
      </c>
      <c r="F36" s="73">
        <f>IF(F18="","",(F18*$C$4)/(Dashboard!$H$6*1000000))</f>
        <v>3.0284265538553463E-2</v>
      </c>
      <c r="G36" s="73">
        <f>IF(G18="","",(G18*$C$4)/(Dashboard!$H$6*1000000))</f>
        <v>2.8797676143882737E-2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9.1411181390127855E-2</v>
      </c>
      <c r="D38" s="72">
        <f t="shared" si="13"/>
        <v>0.10542061078529416</v>
      </c>
      <c r="E38" s="72">
        <f t="shared" si="13"/>
        <v>8.291075370954093E-2</v>
      </c>
      <c r="F38" s="72">
        <f t="shared" si="13"/>
        <v>7.2559096420334881E-2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1.576416552162798</v>
      </c>
      <c r="D39" s="74">
        <f t="shared" si="14"/>
        <v>1.5930688757216431</v>
      </c>
      <c r="E39" s="74">
        <f t="shared" si="14"/>
        <v>1.3968914247041122</v>
      </c>
      <c r="F39" s="74">
        <f t="shared" si="14"/>
        <v>1.6143431227676348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0.14410209939615348</v>
      </c>
      <c r="D40" s="73">
        <f t="shared" si="15"/>
        <v>0.1679422939016175</v>
      </c>
      <c r="E40" s="73">
        <f t="shared" si="15"/>
        <v>0.11581732087261239</v>
      </c>
      <c r="F40" s="73">
        <f t="shared" si="15"/>
        <v>0.11713527830040132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2.323911631009529E-3</v>
      </c>
      <c r="E42" s="72">
        <f t="shared" si="16"/>
        <v>3.5287925226233311E-5</v>
      </c>
      <c r="F42" s="72">
        <f t="shared" si="16"/>
        <v>0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4.1239785584773186E-3</v>
      </c>
      <c r="E43" s="15">
        <f t="shared" si="17"/>
        <v>4.8244789374186155E-4</v>
      </c>
      <c r="F43" s="15">
        <f t="shared" si="17"/>
        <v>0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0.52798729877021267</v>
      </c>
      <c r="D44" s="77">
        <f t="shared" si="18"/>
        <v>29.663667986086121</v>
      </c>
      <c r="E44" s="77">
        <f t="shared" si="18"/>
        <v>190.59017308766053</v>
      </c>
      <c r="F44" s="77" t="str">
        <f t="shared" si="18"/>
        <v>-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1.0327472846173706E-3</v>
      </c>
      <c r="D45" s="77">
        <f t="shared" si="19"/>
        <v>3.127030210885839E-4</v>
      </c>
      <c r="E45" s="77">
        <f t="shared" si="19"/>
        <v>2.4998999063514059E-4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3.0944307449985029</v>
      </c>
      <c r="E46" s="78">
        <f t="shared" si="20"/>
        <v>3.4859449249150689</v>
      </c>
      <c r="F46" s="78">
        <f t="shared" si="20"/>
        <v>3.6713486815660423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471235</v>
      </c>
      <c r="D69" s="99">
        <f>C69+C54-F66</f>
        <v>471235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0.12188157518683715</v>
      </c>
      <c r="D70" s="100">
        <f t="shared" si="25"/>
        <v>0.12188157518683715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153636.96160000001</v>
      </c>
      <c r="D71" s="99">
        <f>C71+E65-F66</f>
        <v>153636.96160000001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353426.25</v>
      </c>
      <c r="D72" s="99">
        <f>C72+C55</f>
        <v>353426.25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303821</v>
      </c>
      <c r="D73" s="99">
        <f>C73+C54-F66</f>
        <v>303821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2219161.3147533005</v>
      </c>
      <c r="E5" s="15">
        <f>1-D5/D3</f>
        <v>0.43775144421924317</v>
      </c>
      <c r="F5" s="6"/>
      <c r="G5" s="109" t="s">
        <v>134</v>
      </c>
      <c r="H5" s="30">
        <f>IF(Data!F3&lt;=0,"NNI",D6/((Data!F3*Dashboard!H13)/(Dashboard!H5/Data!C4)))</f>
        <v>7.3041735586193877</v>
      </c>
      <c r="I5" s="6"/>
    </row>
    <row r="6" spans="1:9" ht="15" customHeight="1" x14ac:dyDescent="0.3">
      <c r="B6" s="80" t="s">
        <v>135</v>
      </c>
      <c r="D6" s="110">
        <f>(D5*Dashboard!H13*Data!C4)/Dashboard!H5</f>
        <v>2.126264838001263</v>
      </c>
      <c r="E6" s="111"/>
      <c r="G6" s="109" t="s">
        <v>136</v>
      </c>
      <c r="H6" s="30">
        <f>D6/(Data!C25*Dashboard!H13*Data!C4/Common_Shares)</f>
        <v>0.56224855578075694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3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3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3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3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3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3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3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3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3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3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238307.63524669947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65" customHeight="1" x14ac:dyDescent="0.3">
      <c r="B48" s="80" t="s">
        <v>195</v>
      </c>
      <c r="C48" s="6"/>
      <c r="D48" s="339">
        <f>Data!C24+D46+D47</f>
        <v>892512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143</v>
      </c>
      <c r="C52" s="6"/>
      <c r="D52" s="339">
        <f>C10+C32</f>
        <v>1659687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6019507.5312466994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0.17548870351199564</v>
      </c>
      <c r="D4" s="128">
        <f>IF(E7="",D16/C16-1,(G16/C16)^(1/4)-1)</f>
        <v>-9.0108926128153355E-2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9.8750528227001588E-2</v>
      </c>
      <c r="D7" s="132">
        <f>D8/C8-1</f>
        <v>5.1711245921525206E-2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3866335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2639016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0.31743731466621489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1227319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0.19555573947937774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756084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0.12188157518683715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-4.726330942233508E-2</v>
      </c>
      <c r="D15" s="139">
        <f>IF(ABS(C16+D16)=ABS(C16)+ABS(D16),IF(D16&lt;0,-1,1)*(D16-C16)/C16,"Turn")</f>
        <v>-9.0108926128153369E-2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471235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353426.25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0.43470727372400891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153636.96160000001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231</v>
      </c>
      <c r="C32" s="163">
        <f>'Asset Model'!D51</f>
        <v>168341.3</v>
      </c>
    </row>
    <row r="33" spans="2:13" ht="15.75" customHeight="1" x14ac:dyDescent="0.3">
      <c r="B33" s="107" t="s">
        <v>232</v>
      </c>
      <c r="C33" s="163">
        <f>Data!C27</f>
        <v>1659687</v>
      </c>
    </row>
    <row r="34" spans="2:13" ht="15.75" customHeight="1" x14ac:dyDescent="0.3">
      <c r="B34" s="80" t="s">
        <v>233</v>
      </c>
      <c r="C34" s="163">
        <f>'Asset Model'!D48</f>
        <v>892512</v>
      </c>
    </row>
    <row r="35" spans="2:13" ht="15.75" customHeight="1" thickBot="1" x14ac:dyDescent="0.35">
      <c r="B35" s="165" t="s">
        <v>234</v>
      </c>
      <c r="C35" s="163">
        <f>'Asset Model'!E43</f>
        <v>238307.63524669947</v>
      </c>
    </row>
    <row r="36" spans="2:13" ht="15.75" customHeight="1" thickTop="1" x14ac:dyDescent="0.3">
      <c r="B36" s="5" t="s">
        <v>235</v>
      </c>
      <c r="C36" s="166">
        <f>C30+C31+(C32+C33-C34-C35)</f>
        <v>4445978.2061765324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4.259864782008421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4463998.4516815199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14.692856819250544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4.277130680676839</v>
      </c>
      <c r="D45" s="76" t="str">
        <f>Dashboard!I4</f>
        <v>HKD</v>
      </c>
      <c r="E45" s="170" t="s">
        <v>136</v>
      </c>
      <c r="F45" s="30">
        <f>C45/(Data!C25*Exchange_Rate*Data!C4/Common_Shares)</f>
        <v>1.1310023592153717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4.277130680676839</v>
      </c>
      <c r="G49" s="187">
        <f>IF(Data!F$3&lt;=0,"NNI",F49/((Data!F$3*Exchange_Rate)/(Common_Shares/Data!C$4)))</f>
        <v>14.692856819250544</v>
      </c>
      <c r="I49" s="134" t="s">
        <v>244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4.6411956438079187</v>
      </c>
      <c r="G50" s="188">
        <f>IF(Data!F$3&lt;=0,"NNI",F50/((Data!F$3*Exchange_Rate)/(Common_Shares/Data!C$4)))</f>
        <v>15.94349767536397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5.416171101465812</v>
      </c>
      <c r="G51" s="188">
        <f>IF(Data!F$3&lt;=0,"NNI",F51/((Data!F$3*Exchange_Rate)/(Common_Shares/Data!C$4)))</f>
        <v>18.605703786868308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6.4434694064595313</v>
      </c>
      <c r="G52" s="188">
        <f>IF(Data!F$3&lt;=0,"NNI",F52/((Data!F$3*Exchange_Rate)/(Common_Shares/Data!C$4)))</f>
        <v>22.134692735960446</v>
      </c>
      <c r="I52" s="134" t="s">
        <v>245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7.2050696455250813</v>
      </c>
      <c r="G53" s="188">
        <f>IF(Data!F$3&lt;=0,"NNI",F53/((Data!F$3*Exchange_Rate)/(Common_Shares/Data!C$4)))</f>
        <v>24.750952116729781</v>
      </c>
      <c r="I53" s="134"/>
    </row>
    <row r="54" spans="1:12" ht="15.75" customHeight="1" x14ac:dyDescent="0.3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7.4288930757830327</v>
      </c>
      <c r="G54" s="190">
        <f>IF(Data!F$3&lt;=0,"NNI",F54/((Data!F$3*Exchange_Rate)/(Common_Shares/Data!C$4)))</f>
        <v>25.51983337360388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4.259864782008421</v>
      </c>
      <c r="D57" s="26" t="str">
        <f>IF(C57&lt;E57,"&lt;",IF(C57=E57,"=","&gt;"))</f>
        <v>&lt;</v>
      </c>
      <c r="E57" s="196">
        <f>F54</f>
        <v>7.4288930757830327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5.3589096572356443E-2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-5.8319772389869939</v>
      </c>
      <c r="K59" s="276">
        <f t="dataTable" ref="K59:K60" dt2D="0" dtr="0" r1="C60" ca="1"/>
        <v>5.3589096572356443E-2</v>
      </c>
    </row>
    <row r="60" spans="1:12" ht="15.75" hidden="1" customHeight="1" x14ac:dyDescent="0.3">
      <c r="B60" s="6"/>
      <c r="C60" s="186">
        <f>J59</f>
        <v>-5.8319772389869939</v>
      </c>
      <c r="D60" s="186">
        <f>D22/(Dashboard!H5/Data!C4)</f>
        <v>0.17245395413751019</v>
      </c>
      <c r="E60" s="186">
        <f>IF(E7="",I60,E22)/(Dashboard!H5/Data!C4)</f>
        <v>6.2920906375140229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6566991.9767935611</v>
      </c>
      <c r="J60" s="277">
        <f>-Dashboard!C22+(C32+C33-C34-C35)/(Dashboard!H5/Data!C4)</f>
        <v>-4.6319772389869929</v>
      </c>
      <c r="K60" s="276">
        <v>0.18426960724461661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6.29624391846016</v>
      </c>
      <c r="D63" s="262" t="str">
        <f>D45</f>
        <v>HKD</v>
      </c>
      <c r="E63" s="263">
        <f>IF(Data!F3&lt;=0,"NNI",C63/((Data!F3*Exchange_Rate)/(Common_Shares/Data!C4)))</f>
        <v>21.628941760173859</v>
      </c>
      <c r="F63" s="263">
        <f>C63/(Data!C25*Exchange_Rate*Data!C4/Common_Shares)</f>
        <v>1.664916799981196</v>
      </c>
      <c r="G63" s="273">
        <f>IRR(C60:G60)</f>
        <v>5.3589096572356443E-2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3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3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3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3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3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3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3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2022-12-09T06:58:18Z</dcterms:modified>
  <cp:category/>
  <cp:contentStatus/>
</cp:coreProperties>
</file>