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Opportunities\"/>
    </mc:Choice>
  </mc:AlternateContent>
  <xr:revisionPtr revIDLastSave="0" documentId="8_{4A1AB3AF-7FB2-491C-9CAB-8FA7A5402AB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C19" i="1"/>
  <c r="D13" i="4"/>
  <c r="D8" i="4"/>
  <c r="H25" i="1" l="1"/>
  <c r="C25" i="1"/>
  <c r="E4" i="4"/>
  <c r="D11" i="1"/>
  <c r="D13" i="1"/>
  <c r="C23" i="1"/>
  <c r="I13" i="1"/>
  <c r="E5" i="1"/>
  <c r="G60" i="4"/>
  <c r="F60" i="4"/>
  <c r="D52" i="3"/>
  <c r="E4" i="2"/>
  <c r="E8" i="4"/>
  <c r="E9" i="4"/>
  <c r="E11" i="4"/>
  <c r="E13" i="4"/>
  <c r="E10" i="3"/>
  <c r="G31" i="2"/>
  <c r="G32" i="2" s="1"/>
  <c r="H31" i="2"/>
  <c r="I31" i="2"/>
  <c r="I32" i="2" s="1"/>
  <c r="J31" i="2"/>
  <c r="J32" i="2" s="1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H32" i="2"/>
  <c r="K32" i="2"/>
  <c r="L32" i="2"/>
  <c r="M32" i="2"/>
  <c r="C1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D100" i="5" s="1" a="1"/>
  <c r="D100" i="5" s="1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D51" i="3" l="1"/>
  <c r="F51" i="3"/>
  <c r="C39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J39" i="2" l="1"/>
  <c r="E61" i="5"/>
  <c r="D61" i="5" s="1"/>
  <c r="D33" i="5"/>
  <c r="E20" i="3"/>
  <c r="H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D20" i="3" l="1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<sst xmlns="http://schemas.openxmlformats.org/spreadsheetml/2006/main" count="471" uniqueCount="400">
  <si>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</si>
  <si>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</si>
  <si>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</si>
  <si>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</si>
  <si>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</si>
  <si>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</si>
  <si>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</si>
  <si>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</si>
  <si>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</si>
  <si>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</si>
  <si>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</si>
  <si>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</si>
  <si>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</si>
  <si>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</si>
  <si>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</si>
  <si>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</si>
  <si>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</si>
  <si>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</si>
  <si>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</si>
  <si>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</si>
  <si>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</si>
  <si>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</si>
  <si>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</si>
  <si>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</si>
  <si>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</si>
  <si>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</si>
  <si>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</si>
  <si>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</si>
  <si>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</si>
  <si>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</si>
  <si>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</si>
  <si>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</si>
  <si>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</si>
  <si>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</si>
  <si>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</si>
  <si>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</si>
  <si>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</si>
  <si>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</si>
  <si>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</si>
  <si>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</si>
  <si>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</si>
  <si>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</si>
  <si>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</si>
  <si>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</si>
  <si>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</si>
  <si>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</si>
  <si>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</si>
  <si>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</si>
  <si>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</si>
  <si>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</si>
  <si>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</si>
  <si>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</si>
  <si>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</si>
  <si>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</si>
  <si>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</si>
  <si>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</si>
  <si>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</si>
  <si>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</si>
  <si>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</si>
  <si>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</si>
  <si>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</si>
  <si>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</si>
  <si>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</si>
  <si>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</si>
  <si>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</si>
  <si>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</si>
  <si>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</si>
  <si>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</si>
  <si>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</si>
  <si>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</si>
  <si>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</si>
  <si>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</si>
  <si>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</si>
  <si>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</si>
  <si>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</si>
  <si>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</si>
  <si>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</si>
  <si>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</si>
  <si>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</si>
  <si>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</si>
  <si>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</si>
  <si>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</si>
  <si>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</si>
  <si>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</si>
  <si>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</si>
  <si>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</si>
  <si>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</si>
  <si>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</si>
  <si>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</si>
  <si>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</si>
  <si>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</si>
  <si>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</si>
  <si>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</si>
  <si>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</si>
  <si>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</si>
  <si>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</si>
  <si>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</si>
  <si>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</si>
  <si>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</si>
  <si>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</si>
  <si>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</si>
  <si>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</si>
  <si>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</si>
  <si>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</si>
  <si>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</si>
  <si>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</si>
  <si>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</si>
  <si>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</si>
  <si>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</si>
  <si>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</si>
  <si>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</si>
  <si>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</si>
  <si>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</si>
  <si>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</si>
  <si>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</si>
  <si>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</si>
  <si>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</si>
  <si>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</si>
  <si>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</si>
  <si>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</si>
  <si>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</si>
  <si>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</si>
  <si>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</si>
  <si>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</si>
  <si>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</si>
  <si>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</si>
  <si>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</si>
  <si>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</si>
  <si>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</si>
  <si>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</si>
  <si>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</si>
  <si>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</si>
  <si>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</si>
  <si>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</si>
  <si>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</si>
  <si>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</si>
  <si>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</si>
  <si>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</si>
  <si>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</si>
  <si>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</si>
  <si>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</si>
  <si>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</si>
  <si>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</si>
  <si>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</si>
  <si>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</si>
  <si>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</si>
  <si>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</si>
  <si>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</si>
  <si>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</si>
  <si>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</si>
  <si>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</si>
  <si>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</si>
  <si>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</si>
  <si>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</si>
  <si>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</si>
  <si>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</si>
  <si>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</si>
  <si>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</si>
  <si>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</si>
  <si>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</si>
  <si>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</si>
  <si>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</si>
  <si>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</si>
  <si>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</si>
  <si>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</si>
  <si>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</si>
  <si>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</si>
  <si>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</si>
  <si>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</si>
  <si>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</si>
  <si>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</si>
  <si>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</si>
  <si>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</si>
  <si>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</si>
  <si>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</si>
  <si>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</si>
  <si>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</si>
  <si>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</si>
  <si>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</si>
  <si>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</si>
  <si>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</si>
  <si>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</si>
  <si>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</si>
  <si>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</si>
  <si>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</si>
  <si>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</si>
  <si>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</si>
  <si>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</si>
  <si>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</si>
  <si>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</si>
  <si>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</si>
  <si>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</si>
  <si>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</si>
  <si>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</si>
  <si>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</si>
  <si>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</si>
  <si>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</si>
  <si>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</si>
  <si>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</si>
  <si>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</si>
  <si>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</si>
  <si>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</si>
  <si>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</si>
  <si>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</si>
  <si>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</si>
  <si>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</si>
  <si>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</si>
  <si>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</si>
  <si>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</si>
  <si>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</si>
  <si>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</si>
  <si>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</si>
  <si>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</si>
  <si>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</si>
  <si>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</si>
  <si>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</si>
  <si>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</si>
  <si>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</si>
  <si>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</si>
  <si>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</si>
  <si>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</si>
  <si>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</si>
  <si>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</si>
  <si>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</si>
  <si>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</si>
  <si>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</si>
  <si>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</si>
  <si>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</si>
  <si>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</si>
  <si>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</si>
  <si>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</si>
  <si>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</si>
  <si>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</si>
  <si>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</si>
  <si>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</si>
  <si>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</si>
  <si>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</si>
  <si>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</si>
  <si>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</si>
  <si>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</si>
  <si>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</si>
  <si>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</si>
  <si>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</si>
  <si>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</si>
  <si>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</si>
  <si>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</si>
  <si>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</si>
  <si>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</si>
  <si>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</si>
  <si>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</si>
  <si>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</si>
  <si>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</si>
  <si>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</si>
  <si>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</si>
  <si>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</si>
  <si>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</si>
  <si>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</si>
  <si>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</si>
  <si>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</si>
  <si>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</si>
  <si>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</si>
  <si>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</si>
  <si>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</si>
  <si>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</si>
  <si>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</si>
  <si>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</si>
  <si>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</si>
  <si>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</si>
  <si>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</si>
  <si>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</si>
  <si>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</si>
  <si>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</si>
  <si>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</si>
  <si>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</si>
  <si>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</si>
  <si>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</si>
  <si>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</si>
  <si>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</si>
  <si>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</si>
  <si>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</si>
  <si>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</si>
  <si>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</si>
  <si>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</si>
  <si>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</si>
  <si>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</si>
  <si>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</si>
  <si>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</si>
  <si>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</si>
  <si>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</si>
  <si>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</si>
  <si>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</si>
  <si>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</si>
  <si>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</si>
  <si>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</si>
  <si>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</si>
  <si>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</si>
  <si>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</si>
  <si>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</si>
  <si>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</si>
  <si>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</si>
  <si>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</si>
  <si>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</si>
  <si>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</si>
  <si>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</si>
  <si>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</si>
  <si>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</si>
  <si>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</si>
  <si>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</si>
  <si>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</si>
  <si>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</si>
  <si>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</si>
  <si>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</si>
  <si>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</si>
  <si>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</si>
  <si>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</si>
  <si>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</si>
  <si>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</si>
  <si>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</si>
  <si>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</si>
  <si>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</si>
  <si>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</si>
  <si>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</si>
  <si>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</si>
  <si>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</si>
  <si>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</si>
  <si>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</si>
  <si>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</si>
  <si>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</si>
  <si>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</si>
  <si>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</si>
  <si>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</si>
  <si>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</si>
  <si>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</si>
  <si>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</si>
  <si>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</si>
  <si>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</si>
  <si>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</si>
  <si>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</si>
  <si>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</si>
  <si>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</si>
  <si>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</si>
  <si>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</si>
  <si>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</si>
  <si>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</si>
  <si>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</si>
  <si>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</si>
  <si>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</si>
  <si>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</si>
  <si>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</si>
  <si>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</si>
  <si>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</si>
  <si>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</si>
  <si>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</si>
  <si>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</si>
  <si>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</si>
  <si>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</si>
  <si>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</si>
  <si>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</si>
  <si>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</si>
  <si>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</si>
  <si>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</si>
  <si>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</si>
  <si>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</si>
  <si>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</si>
  <si>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</si>
  <si>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</si>
  <si>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</si>
  <si>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</si>
  <si>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</si>
  <si>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</si>
  <si>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</si>
  <si>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</si>
  <si>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</si>
  <si>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</si>
  <si>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</si>
  <si>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</si>
  <si>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</si>
  <si>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</si>
  <si>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</si>
  <si>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</si>
  <si>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</si>
  <si>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</si>
  <si>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</si>
  <si>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</si>
  <si>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</si>
  <si>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</si>
  <si>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</si>
  <si>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</si>
  <si>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</si>
  <si>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</si>
  <si>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</si>
  <si>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</si>
  <si>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</si>
  <si>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</si>
  <si>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</si>
  <si>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</si>
  <si>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BJ ENT URBAN</t>
  </si>
  <si>
    <t>3718.HK</t>
  </si>
  <si>
    <t>HKG</t>
  </si>
  <si>
    <t>Investment Horizon: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</si>
</sst>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5" fillId="0" borderId="49" xfId="0" applyNumberFormat="1" applyFont="1" applyBorder="1" applyAlignment="1">
      <alignment horizontal="center"/>
    </xf>
    <xf numFmtId="10" fontId="15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zoomScale="103" workbookViewId="0">
      <selection activeCell="E6" sqref="E6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284" t="str">
        <f>C3&amp;" : "&amp;C4</f>
        <v>3718.HK : BJ ENT URBAN</v>
      </c>
      <c r="D2" s="285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286" t="s">
        <v>397</v>
      </c>
      <c r="D3" s="287"/>
      <c r="E3" s="16"/>
      <c r="G3" s="7" t="s">
        <v>2</v>
      </c>
      <c r="H3" s="291" t="s">
        <v>398</v>
      </c>
      <c r="I3" s="292"/>
    </row>
    <row r="4" spans="1:11" ht="15.75" customHeight="1" x14ac:dyDescent="0.3">
      <c r="B4" s="5" t="s">
        <v>3</v>
      </c>
      <c r="C4" s="288" t="s">
        <v>396</v>
      </c>
      <c r="D4" s="289"/>
      <c r="E4" s="6"/>
      <c r="G4" s="5" t="s">
        <v>4</v>
      </c>
      <c r="H4" s="47">
        <v>0.65</v>
      </c>
      <c r="I4" s="48" t="s">
        <v>5</v>
      </c>
    </row>
    <row r="5" spans="1:11" ht="15.75" customHeight="1" x14ac:dyDescent="0.3">
      <c r="B5" s="5" t="s">
        <v>6</v>
      </c>
      <c r="C5" s="290">
        <v>44736</v>
      </c>
      <c r="D5" s="289"/>
      <c r="E5" s="268" t="str">
        <f ca="1">IF(C5+30&gt;=TODAY(),"Patience Premium","")</f>
        <v/>
      </c>
      <c r="G5" s="5" t="s">
        <v>7</v>
      </c>
      <c r="H5" s="293">
        <v>3600000000</v>
      </c>
      <c r="I5" s="294"/>
    </row>
    <row r="6" spans="1:11" ht="15.75" customHeight="1" x14ac:dyDescent="0.3">
      <c r="B6" s="13" t="s">
        <v>8</v>
      </c>
      <c r="C6" s="299">
        <v>44925</v>
      </c>
      <c r="D6" s="300"/>
      <c r="E6" s="268"/>
      <c r="G6" s="8" t="s">
        <v>9</v>
      </c>
      <c r="H6" s="304">
        <f>H4*H5/1000000</f>
        <v>2340</v>
      </c>
      <c r="I6" s="305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4.6610481781078139</v>
      </c>
      <c r="I9" s="72">
        <f>IF(H9="NNI","NNI",1/H9)</f>
        <v>0.21454401709401708</v>
      </c>
    </row>
    <row r="10" spans="1:11" ht="15.75" customHeight="1" x14ac:dyDescent="0.3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06">
        <f>IF('FCF Model'!C4&lt;=0,"Negative PEG",IFERROR(H9/('FCF Model'!C4*100),"NNI"))</f>
        <v>0.12153384489609016</v>
      </c>
      <c r="I10" s="307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0.5707889254264269</v>
      </c>
      <c r="I11" s="43">
        <f>IF('Asset Model'!D53/'FCF Model'!C16&lt;0,"Negative EV",'Asset Model'!D53/'FCF Model'!C16)</f>
        <v>7.1398790055594556</v>
      </c>
    </row>
    <row r="12" spans="1:11" ht="15.75" customHeight="1" x14ac:dyDescent="0.3">
      <c r="B12" s="20" t="s">
        <v>17</v>
      </c>
      <c r="C12" s="248"/>
      <c r="D12" s="15">
        <v>4.4999999999999998E-2</v>
      </c>
      <c r="E12" s="5"/>
      <c r="G12" s="7" t="s">
        <v>18</v>
      </c>
      <c r="H12" s="291" t="s">
        <v>5</v>
      </c>
      <c r="I12" s="292"/>
    </row>
    <row r="13" spans="1:11" ht="15.75" customHeight="1" x14ac:dyDescent="0.3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284" t="s">
        <v>22</v>
      </c>
      <c r="D15" s="301"/>
      <c r="E15" s="284" t="s">
        <v>23</v>
      </c>
      <c r="F15" s="301"/>
      <c r="G15" s="13"/>
      <c r="H15" s="13"/>
      <c r="I15" s="8"/>
    </row>
    <row r="16" spans="1:11" ht="15.75" customHeight="1" x14ac:dyDescent="0.3">
      <c r="A16" s="6"/>
      <c r="B16" s="20" t="s">
        <v>24</v>
      </c>
      <c r="C16" s="302">
        <f>'FCF Model'!C63</f>
        <v>0.95511191108824056</v>
      </c>
      <c r="D16" s="303"/>
      <c r="E16" s="302">
        <f>'Asset Model'!D6</f>
        <v>0.23851400000000009</v>
      </c>
      <c r="F16" s="303"/>
      <c r="G16" s="36" t="s">
        <v>25</v>
      </c>
      <c r="H16" s="295">
        <f>C22/E16-1</f>
        <v>1.012460484499861</v>
      </c>
      <c r="I16" s="296"/>
      <c r="J16" s="6"/>
      <c r="K16" s="6"/>
    </row>
    <row r="17" spans="1:12" ht="15.75" customHeight="1" x14ac:dyDescent="0.3">
      <c r="B17" s="21" t="s">
        <v>26</v>
      </c>
      <c r="C17" s="33">
        <f>'FCF Model'!E63</f>
        <v>6.8489578970260245</v>
      </c>
      <c r="D17" s="33">
        <f>'FCF Model'!F63</f>
        <v>0.83871892521851976</v>
      </c>
      <c r="E17" s="33">
        <f>'Asset Model'!H5</f>
        <v>1.7103465310049348</v>
      </c>
      <c r="F17" s="33">
        <f>'Asset Model'!H6</f>
        <v>0.2094479227063982</v>
      </c>
      <c r="G17" s="10" t="s">
        <v>27</v>
      </c>
      <c r="H17" s="297">
        <f ca="1">AVERAGE((1-'Qualitative Analysis'!E29),(1-'Qualitative Analysis'!E63),H16)+IF(C5+30&gt;=TODAY(),20%,0)</f>
        <v>0.78193127261106488</v>
      </c>
      <c r="I17" s="298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28</v>
      </c>
      <c r="C19" s="332">
        <f>0.03+0.04</f>
        <v>7.0000000000000007E-2</v>
      </c>
      <c r="D19" s="332"/>
      <c r="E19" s="6"/>
      <c r="F19" s="6"/>
      <c r="G19" s="24" t="s">
        <v>399</v>
      </c>
      <c r="H19" s="283">
        <v>3</v>
      </c>
      <c r="I19" s="283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13">
        <v>0.48</v>
      </c>
      <c r="D22" s="314"/>
      <c r="E22" s="278" t="s">
        <v>32</v>
      </c>
      <c r="F22" s="270">
        <f>IF(Data!F3&lt;=0,"NNI",C22/((Data!F3*H13)/(H5/Data!C4)))</f>
        <v>3.4420048084488473</v>
      </c>
      <c r="G22" s="44" t="s">
        <v>33</v>
      </c>
      <c r="H22" s="348">
        <f>'FCF Model'!G63</f>
        <v>0.18011658379202578</v>
      </c>
      <c r="I22" s="348"/>
      <c r="J22" s="6"/>
      <c r="L22" s="6"/>
    </row>
    <row r="23" spans="1:12" ht="15.75" customHeight="1" x14ac:dyDescent="0.3">
      <c r="B23" s="36" t="s">
        <v>34</v>
      </c>
      <c r="C23" s="345">
        <f>'FCF Model'!K60</f>
        <v>0.25582712113497297</v>
      </c>
      <c r="D23" s="346"/>
      <c r="E23" s="279" t="s">
        <v>35</v>
      </c>
      <c r="F23" s="33">
        <f>C22/(Data!C25*H13*Data!C4/Common_Shares)</f>
        <v>0.42150566800720757</v>
      </c>
      <c r="G23" s="44" t="s">
        <v>36</v>
      </c>
      <c r="H23" s="349">
        <f ca="1">D10+D12*(1+H17)</f>
        <v>0.11018690726749793</v>
      </c>
      <c r="I23" s="349"/>
      <c r="J23" s="6"/>
      <c r="L23" s="6"/>
    </row>
    <row r="24" spans="1:12" ht="15.75" customHeight="1" x14ac:dyDescent="0.3">
      <c r="B24" s="10" t="s">
        <v>37</v>
      </c>
      <c r="C24" s="343">
        <f ca="1">C23-H23</f>
        <v>0.14564021386747505</v>
      </c>
      <c r="D24" s="344"/>
      <c r="E24" s="6"/>
      <c r="F24" s="6"/>
      <c r="G24" s="269" t="s">
        <v>38</v>
      </c>
      <c r="H24" s="337">
        <f ca="1">H22-H23</f>
        <v>6.9929676524527848E-2</v>
      </c>
      <c r="I24" s="337"/>
      <c r="J24" s="6"/>
      <c r="L24" s="6"/>
    </row>
    <row r="25" spans="1:12" ht="15.75" customHeight="1" x14ac:dyDescent="0.3">
      <c r="B25" s="10" t="s">
        <v>39</v>
      </c>
      <c r="C25" s="333">
        <f>C19/C22</f>
        <v>0.14583333333333334</v>
      </c>
      <c r="D25" s="334"/>
      <c r="E25" s="6"/>
      <c r="F25" s="6"/>
      <c r="G25" s="269" t="s">
        <v>40</v>
      </c>
      <c r="H25" s="335">
        <f>C19/H4</f>
        <v>0.1076923076923077</v>
      </c>
      <c r="I25" s="336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0"/>
      <c r="D28" s="311"/>
      <c r="E28" s="311"/>
      <c r="F28" s="311"/>
      <c r="G28" s="311"/>
      <c r="H28" s="311"/>
      <c r="I28" s="312"/>
      <c r="J28" s="6"/>
    </row>
    <row r="29" spans="1:12" ht="52.5" customHeight="1" x14ac:dyDescent="0.3">
      <c r="A29" s="6"/>
      <c r="B29" s="27" t="s">
        <v>43</v>
      </c>
      <c r="C29" s="315"/>
      <c r="D29" s="316"/>
      <c r="E29" s="316"/>
      <c r="F29" s="316"/>
      <c r="G29" s="315"/>
      <c r="H29" s="316"/>
      <c r="I29" s="316"/>
      <c r="J29" s="6"/>
    </row>
    <row r="30" spans="1:12" ht="52.5" customHeight="1" x14ac:dyDescent="0.3">
      <c r="A30" s="6"/>
      <c r="B30" s="28" t="s">
        <v>44</v>
      </c>
      <c r="C30" s="317"/>
      <c r="D30" s="300"/>
      <c r="E30" s="300"/>
      <c r="F30" s="300"/>
      <c r="G30" s="317"/>
      <c r="H30" s="300"/>
      <c r="I30" s="300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0"/>
      <c r="D33" s="321"/>
      <c r="E33" s="320"/>
      <c r="F33" s="321"/>
      <c r="G33" s="256"/>
      <c r="H33" s="347" t="s">
        <v>48</v>
      </c>
      <c r="I33" s="347"/>
      <c r="J33" s="6"/>
    </row>
    <row r="34" spans="2:10" ht="15.75" customHeight="1" x14ac:dyDescent="0.3">
      <c r="B34" s="26" t="s">
        <v>49</v>
      </c>
      <c r="C34" s="342">
        <f>C38/D32</f>
        <v>0</v>
      </c>
      <c r="D34" s="323"/>
      <c r="E34" s="322">
        <f>E38/D32</f>
        <v>0</v>
      </c>
      <c r="F34" s="323"/>
      <c r="G34" s="257">
        <f>G38/D32</f>
        <v>0</v>
      </c>
      <c r="H34" s="338">
        <f>C34+E34+G34</f>
        <v>0</v>
      </c>
      <c r="I34" s="338"/>
      <c r="J34" s="6"/>
    </row>
    <row r="35" spans="2:10" ht="15.75" customHeight="1" x14ac:dyDescent="0.3">
      <c r="B35" s="26" t="s">
        <v>50</v>
      </c>
      <c r="C35" s="318"/>
      <c r="D35" s="316"/>
      <c r="E35" s="318"/>
      <c r="F35" s="316"/>
      <c r="G35" s="255"/>
      <c r="H35" s="339">
        <f>C35+E35+G35</f>
        <v>0</v>
      </c>
      <c r="I35" s="339"/>
      <c r="J35" s="6"/>
    </row>
    <row r="36" spans="2:10" ht="15.75" customHeight="1" x14ac:dyDescent="0.3">
      <c r="B36" s="26" t="s">
        <v>51</v>
      </c>
      <c r="C36" s="319"/>
      <c r="D36" s="316"/>
      <c r="E36" s="319"/>
      <c r="F36" s="316"/>
      <c r="G36" s="258"/>
      <c r="H36" s="340"/>
      <c r="I36" s="340"/>
      <c r="J36" s="6"/>
    </row>
    <row r="37" spans="2:10" ht="15.75" customHeight="1" x14ac:dyDescent="0.3">
      <c r="B37" s="26" t="s">
        <v>52</v>
      </c>
      <c r="C37" s="308">
        <f>C36*$H$5/1000000</f>
        <v>0</v>
      </c>
      <c r="D37" s="309"/>
      <c r="E37" s="308">
        <f>E36*$H$5/1000000</f>
        <v>0</v>
      </c>
      <c r="F37" s="309"/>
      <c r="G37" s="259">
        <f>G36*$H$5/1000000</f>
        <v>0</v>
      </c>
      <c r="H37" s="341"/>
      <c r="I37" s="341"/>
      <c r="J37" s="6"/>
    </row>
    <row r="38" spans="2:10" ht="15.75" customHeight="1" x14ac:dyDescent="0.3">
      <c r="B38" s="2" t="s">
        <v>53</v>
      </c>
      <c r="C38" s="328">
        <f>C35*C36</f>
        <v>0</v>
      </c>
      <c r="D38" s="303"/>
      <c r="E38" s="329">
        <f>E35*E36</f>
        <v>0</v>
      </c>
      <c r="F38" s="330"/>
      <c r="G38" s="260">
        <f>G35*G36</f>
        <v>0</v>
      </c>
      <c r="H38" s="328">
        <f>C38+E38+G38</f>
        <v>0</v>
      </c>
      <c r="I38" s="328"/>
      <c r="J38" s="6"/>
    </row>
    <row r="39" spans="2:10" ht="15.75" customHeight="1" x14ac:dyDescent="0.3">
      <c r="B39" s="1" t="s">
        <v>54</v>
      </c>
      <c r="C39" s="324"/>
      <c r="D39" s="325"/>
      <c r="E39" s="331" t="str">
        <f>IF(C38=0,"-",(C38+E38)/(C35+E35))</f>
        <v>-</v>
      </c>
      <c r="F39" s="323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55</v>
      </c>
      <c r="C40" s="326"/>
      <c r="D40" s="327"/>
      <c r="E40" s="308" t="str">
        <f>IF(E39="-","-",E39*$H$5/1000000)</f>
        <v>-</v>
      </c>
      <c r="F40" s="309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  <mergeCell ref="C39:D39"/>
    <mergeCell ref="C40:D40"/>
    <mergeCell ref="E40:F40"/>
    <mergeCell ref="C38:D38"/>
    <mergeCell ref="E38:F38"/>
    <mergeCell ref="E39:F39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F16" sqref="F16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502033</v>
      </c>
      <c r="G3" s="6"/>
      <c r="H3" s="5" t="str">
        <f>"Past "&amp;'FCF Model'!C3&amp;" yrs Revenue CAGR"</f>
        <v>Past 4 yrs Revenue CAGR</v>
      </c>
      <c r="I3" s="6"/>
      <c r="J3" s="5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562959.75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0.38351853198530406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59</v>
      </c>
      <c r="C7" s="51">
        <v>4450165</v>
      </c>
      <c r="D7" s="51">
        <v>3520047</v>
      </c>
      <c r="E7" s="51">
        <v>2711228</v>
      </c>
      <c r="F7" s="51">
        <v>2211832</v>
      </c>
      <c r="G7" s="51"/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60</v>
      </c>
      <c r="C8" s="15">
        <f t="shared" ref="C8:L8" si="0">IF(D7="","",C7/D7-1)</f>
        <v>0.26423454005017555</v>
      </c>
      <c r="D8" s="15">
        <f t="shared" si="0"/>
        <v>0.29832201496886279</v>
      </c>
      <c r="E8" s="15">
        <f t="shared" si="0"/>
        <v>0.22578387508635367</v>
      </c>
      <c r="F8" s="15" t="str">
        <f t="shared" si="0"/>
        <v/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61</v>
      </c>
      <c r="C9" s="51">
        <v>3288007</v>
      </c>
      <c r="D9" s="51">
        <v>2433343</v>
      </c>
      <c r="E9" s="51">
        <v>1927783</v>
      </c>
      <c r="F9" s="51">
        <v>1588563</v>
      </c>
      <c r="G9" s="51"/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62</v>
      </c>
      <c r="C10" s="15">
        <f t="shared" ref="C10:M10" si="1">IF(C7="","",(C7-C9)/C7)</f>
        <v>0.26114941805528558</v>
      </c>
      <c r="D10" s="15">
        <f t="shared" si="1"/>
        <v>0.30871860517771493</v>
      </c>
      <c r="E10" s="15">
        <f t="shared" si="1"/>
        <v>0.28896315617867624</v>
      </c>
      <c r="F10" s="15">
        <f t="shared" si="1"/>
        <v>0.28178858068786417</v>
      </c>
      <c r="G10" s="15" t="str">
        <f t="shared" si="1"/>
        <v/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63</v>
      </c>
      <c r="C11" s="51">
        <v>411545</v>
      </c>
      <c r="D11" s="51">
        <v>322209</v>
      </c>
      <c r="E11" s="51">
        <v>299872</v>
      </c>
      <c r="F11" s="51">
        <v>339829</v>
      </c>
      <c r="G11" s="51"/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64</v>
      </c>
      <c r="C12" s="15">
        <f t="shared" ref="C12:M12" si="2">IF(C7="","",C10-C13)</f>
        <v>9.2478593490353728E-2</v>
      </c>
      <c r="D12" s="15">
        <f t="shared" si="2"/>
        <v>9.1535425521306946E-2</v>
      </c>
      <c r="E12" s="15">
        <f t="shared" si="2"/>
        <v>0.11060375593642438</v>
      </c>
      <c r="F12" s="15">
        <f t="shared" si="2"/>
        <v>0.15364141580373192</v>
      </c>
      <c r="G12" s="15" t="str">
        <f t="shared" si="2"/>
        <v/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65</v>
      </c>
      <c r="C13" s="15">
        <f t="shared" ref="C13:M13" si="3">IF(C14="","",C14/C7)</f>
        <v>0.16867082456493185</v>
      </c>
      <c r="D13" s="15">
        <f t="shared" si="3"/>
        <v>0.21718317965640799</v>
      </c>
      <c r="E13" s="15">
        <f t="shared" si="3"/>
        <v>0.17835940024225186</v>
      </c>
      <c r="F13" s="15">
        <f t="shared" si="3"/>
        <v>0.12814716488413225</v>
      </c>
      <c r="G13" s="15" t="str">
        <f t="shared" si="3"/>
        <v/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66</v>
      </c>
      <c r="C14" s="34">
        <f t="shared" ref="C14:M14" si="4">IF(C7="","",C7-C9-C11)</f>
        <v>750613</v>
      </c>
      <c r="D14" s="34">
        <f t="shared" si="4"/>
        <v>764495</v>
      </c>
      <c r="E14" s="34">
        <f t="shared" si="4"/>
        <v>483573</v>
      </c>
      <c r="F14" s="34">
        <f t="shared" si="4"/>
        <v>283440</v>
      </c>
      <c r="G14" s="34" t="str">
        <f t="shared" si="4"/>
        <v/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67</v>
      </c>
      <c r="C15" s="15">
        <f>IF(D14="","",IF(ABS(C14+D14)=ABS(C14)+ABS(D14),IF(C14&lt;0,-1,1)*(C14-D14)/D14,"Turn"))</f>
        <v>-1.8158392141217405E-2</v>
      </c>
      <c r="D15" s="15">
        <f t="shared" ref="D15:M15" si="5">IF(E14="","",IF(ABS(D14+E14)=ABS(D14)+ABS(E14),IF(D14&lt;0,-1,1)*(D14-E14)/E14,"Turn"))</f>
        <v>0.58092986994724682</v>
      </c>
      <c r="E15" s="15">
        <f t="shared" si="5"/>
        <v>0.70608594411515668</v>
      </c>
      <c r="F15" s="15" t="str">
        <f t="shared" si="5"/>
        <v/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68</v>
      </c>
      <c r="C16" s="34">
        <f>IF(C14="","",C14*(1-'FCF Model'!$D$17))</f>
        <v>562959.75</v>
      </c>
      <c r="D16" s="34">
        <f>IF(D14="","",D14*(1-'FCF Model'!$D$17))</f>
        <v>573371.25</v>
      </c>
      <c r="E16" s="34">
        <f>IF(E14="","",E14*(1-'FCF Model'!$D$17))</f>
        <v>362679.75</v>
      </c>
      <c r="F16" s="34">
        <f>IF(F14="","",F14*(1-'FCF Model'!$D$17))</f>
        <v>212580</v>
      </c>
      <c r="G16" s="34" t="str">
        <f>IF(G14="","",G14*(1-'FCF Model'!$D$17))</f>
        <v/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69</v>
      </c>
      <c r="C17" s="51">
        <v>81499</v>
      </c>
      <c r="D17" s="51">
        <v>69940</v>
      </c>
      <c r="E17" s="51">
        <v>72107</v>
      </c>
      <c r="F17" s="51">
        <v>49932</v>
      </c>
      <c r="G17" s="51"/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70</v>
      </c>
      <c r="C18" s="51">
        <v>502033</v>
      </c>
      <c r="D18" s="51">
        <v>426829</v>
      </c>
      <c r="E18" s="51">
        <v>281328</v>
      </c>
      <c r="F18" s="51">
        <v>430383</v>
      </c>
      <c r="G18" s="51"/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71</v>
      </c>
      <c r="C19" s="15">
        <f t="shared" ref="C19:M19" si="6">IF(C7="","",C18/C7)</f>
        <v>0.1128122215693126</v>
      </c>
      <c r="D19" s="15">
        <f t="shared" si="6"/>
        <v>0.12125661958490895</v>
      </c>
      <c r="E19" s="15">
        <f t="shared" si="6"/>
        <v>0.1037640508286282</v>
      </c>
      <c r="F19" s="15">
        <f t="shared" si="6"/>
        <v>0.19458213824558104</v>
      </c>
      <c r="G19" s="15" t="str">
        <f t="shared" si="6"/>
        <v/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72</v>
      </c>
      <c r="C20" s="68">
        <f>'Asset Model'!C21</f>
        <v>4252904</v>
      </c>
      <c r="D20" s="51">
        <v>3539011</v>
      </c>
      <c r="E20" s="51">
        <v>2286741</v>
      </c>
      <c r="F20" s="51">
        <v>2351552</v>
      </c>
      <c r="G20" s="51"/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73</v>
      </c>
      <c r="C21" s="68">
        <f>'Asset Model'!H21</f>
        <v>2052834</v>
      </c>
      <c r="D21" s="51">
        <v>2321969</v>
      </c>
      <c r="E21" s="51">
        <v>1617589</v>
      </c>
      <c r="F21" s="51">
        <v>1452759</v>
      </c>
      <c r="G21" s="51"/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74</v>
      </c>
      <c r="C22" s="68">
        <f>'Asset Model'!H10+'Asset Model'!H12</f>
        <v>1903866</v>
      </c>
      <c r="D22" s="51">
        <v>986070</v>
      </c>
      <c r="E22" s="51">
        <v>563950</v>
      </c>
      <c r="F22" s="51">
        <v>306244</v>
      </c>
      <c r="G22" s="51"/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75</v>
      </c>
      <c r="C23" s="68">
        <f>'Asset Model'!H23+'Asset Model'!H24</f>
        <v>1960851</v>
      </c>
      <c r="D23" s="51">
        <v>772568</v>
      </c>
      <c r="E23" s="51">
        <v>825831</v>
      </c>
      <c r="F23" s="51">
        <v>1048903</v>
      </c>
      <c r="G23" s="51"/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76</v>
      </c>
      <c r="C24" s="34">
        <f t="shared" ref="C24:M24" si="7">IF(C7="","",C22+C23)</f>
        <v>3864717</v>
      </c>
      <c r="D24" s="34">
        <f t="shared" si="7"/>
        <v>1758638</v>
      </c>
      <c r="E24" s="34">
        <f t="shared" si="7"/>
        <v>1389781</v>
      </c>
      <c r="F24" s="34">
        <f t="shared" si="7"/>
        <v>1355147</v>
      </c>
      <c r="G24" s="34" t="str">
        <f t="shared" si="7"/>
        <v/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77</v>
      </c>
      <c r="C25" s="68">
        <f>'Asset Model'!D3</f>
        <v>4099589</v>
      </c>
      <c r="D25" s="51">
        <v>3667065</v>
      </c>
      <c r="E25" s="51">
        <v>2257558</v>
      </c>
      <c r="F25" s="51">
        <v>2144510</v>
      </c>
      <c r="G25" s="51"/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78</v>
      </c>
      <c r="C26" s="68">
        <f>'Asset Model'!C43</f>
        <v>707948</v>
      </c>
      <c r="D26" s="51">
        <v>655538</v>
      </c>
      <c r="E26" s="51">
        <v>443738</v>
      </c>
      <c r="F26" s="51">
        <v>589034</v>
      </c>
      <c r="G26" s="51"/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79</v>
      </c>
      <c r="C27" s="68">
        <f>'Asset Model'!D52</f>
        <v>1547497</v>
      </c>
      <c r="D27" s="51">
        <v>1725283</v>
      </c>
      <c r="E27" s="51">
        <v>1051896</v>
      </c>
      <c r="F27" s="51">
        <v>734314</v>
      </c>
      <c r="G27" s="51"/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80</v>
      </c>
      <c r="C28" s="68">
        <f>'Asset Model'!C23+'Asset Model'!C24+'Asset Model'!C27</f>
        <v>3688768</v>
      </c>
      <c r="D28" s="51">
        <v>2678875</v>
      </c>
      <c r="E28" s="51">
        <v>2083103</v>
      </c>
      <c r="F28" s="51">
        <v>1839965</v>
      </c>
      <c r="G28" s="51"/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81</v>
      </c>
      <c r="C29" s="15">
        <f t="shared" ref="C29:M29" si="8">IF(D7="","",(C28-D28)/C28)</f>
        <v>0.27377514660721414</v>
      </c>
      <c r="D29" s="15">
        <f t="shared" si="8"/>
        <v>0.22239634174793524</v>
      </c>
      <c r="E29" s="15">
        <f t="shared" si="8"/>
        <v>0.11671914446861245</v>
      </c>
      <c r="F29" s="15" t="str">
        <f t="shared" si="8"/>
        <v/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82</v>
      </c>
      <c r="C30" s="34">
        <f>IF(D7="","",(C7-D7)*$D$49)</f>
        <v>61108.752599999993</v>
      </c>
      <c r="D30" s="34">
        <f t="shared" ref="D30:M30" si="9">IF(E7="","",(D7-E7)*$D$49)</f>
        <v>53139.408299999996</v>
      </c>
      <c r="E30" s="34">
        <f t="shared" si="9"/>
        <v>32810.317199999998</v>
      </c>
      <c r="F30" s="34" t="str">
        <f t="shared" si="9"/>
        <v/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83</v>
      </c>
      <c r="C31" s="34">
        <f t="shared" ref="C31:M31" si="10">IF(D7="","",C28-D28+C30)</f>
        <v>1071001.7526</v>
      </c>
      <c r="D31" s="34">
        <f t="shared" si="10"/>
        <v>648911.40830000001</v>
      </c>
      <c r="E31" s="34">
        <f t="shared" si="10"/>
        <v>275948.31719999999</v>
      </c>
      <c r="F31" s="34" t="str">
        <f t="shared" si="10"/>
        <v/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84</v>
      </c>
      <c r="C32" s="15">
        <f t="shared" ref="C32:M32" si="11">IF(C31="","",C31/C16)</f>
        <v>1.9024481814197196</v>
      </c>
      <c r="D32" s="15">
        <f t="shared" si="11"/>
        <v>1.1317473771138682</v>
      </c>
      <c r="E32" s="15">
        <f t="shared" si="11"/>
        <v>0.76085945575952341</v>
      </c>
      <c r="F32" s="15" t="str">
        <f t="shared" si="11"/>
        <v/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85</v>
      </c>
      <c r="C33" s="70">
        <f t="shared" ref="C33:M33" si="12">IF(C25="","",C25-C27+C24)</f>
        <v>6416809</v>
      </c>
      <c r="D33" s="70">
        <f t="shared" si="12"/>
        <v>3700420</v>
      </c>
      <c r="E33" s="70">
        <f t="shared" si="12"/>
        <v>2595443</v>
      </c>
      <c r="F33" s="70">
        <f t="shared" si="12"/>
        <v>2765343</v>
      </c>
      <c r="G33" s="70" t="str">
        <f t="shared" si="12"/>
        <v/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87</v>
      </c>
      <c r="C35" s="72">
        <f>IF(C16="","",(C16*$C$4)/(Dashboard!$H$6*1000000))</f>
        <v>0.24058108974358974</v>
      </c>
      <c r="D35" s="72">
        <f>IF(D16="","",(D16*$C$4)/(Dashboard!$H$6*1000000))</f>
        <v>0.24503044871794871</v>
      </c>
      <c r="E35" s="72">
        <f>IF(E16="","",(E16*$C$4)/(Dashboard!$H$6*1000000))</f>
        <v>0.15499134615384616</v>
      </c>
      <c r="F35" s="72">
        <f>IF(F16="","",(F16*$C$4)/(Dashboard!$H$6*1000000))</f>
        <v>9.084615384615384E-2</v>
      </c>
      <c r="G35" s="72" t="str">
        <f>IF(G16="","",(G16*$C$4)/(Dashboard!$H$6*1000000))</f>
        <v/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88</v>
      </c>
      <c r="C36" s="73">
        <f>IF(C18="","",(C18*$C$4)/(Dashboard!$H$6*1000000))</f>
        <v>0.2145440170940171</v>
      </c>
      <c r="D36" s="73">
        <f>IF(D18="","",(D18*$C$4)/(Dashboard!$H$6*1000000))</f>
        <v>0.18240555555555554</v>
      </c>
      <c r="E36" s="73">
        <f>IF(E18="","",(E18*$C$4)/(Dashboard!$H$6*1000000))</f>
        <v>0.12022564102564103</v>
      </c>
      <c r="F36" s="73">
        <f>IF(F18="","",(F18*$C$4)/(Dashboard!$H$6*1000000))</f>
        <v>0.18392435897435896</v>
      </c>
      <c r="G36" s="73" t="str">
        <f>IF(G18="","",(G18*$C$4)/(Dashboard!$H$6*1000000))</f>
        <v/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90</v>
      </c>
      <c r="C38" s="72">
        <f t="shared" ref="C38:M38" si="13">IF(C7="","",C16/C7)</f>
        <v>0.12650311842369891</v>
      </c>
      <c r="D38" s="72">
        <f t="shared" si="13"/>
        <v>0.16288738474230599</v>
      </c>
      <c r="E38" s="72">
        <f t="shared" si="13"/>
        <v>0.1337695501816889</v>
      </c>
      <c r="F38" s="72">
        <f t="shared" si="13"/>
        <v>9.6110373663099186E-2</v>
      </c>
      <c r="G38" s="72" t="str">
        <f t="shared" si="13"/>
        <v/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91</v>
      </c>
      <c r="C39" s="74">
        <f t="shared" ref="C39:L39" si="14">IF(D33="","",C7/D33)</f>
        <v>1.2026107847217342</v>
      </c>
      <c r="D39" s="74">
        <f t="shared" si="14"/>
        <v>1.3562413044709516</v>
      </c>
      <c r="E39" s="74">
        <f t="shared" si="14"/>
        <v>0.98043099897553398</v>
      </c>
      <c r="F39" s="74" t="str">
        <f t="shared" si="14"/>
        <v/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92</v>
      </c>
      <c r="C40" s="73">
        <f t="shared" ref="C40:L40" si="15">IF(D33="","",C16/D33)</f>
        <v>0.15213401451727102</v>
      </c>
      <c r="D40" s="73">
        <f t="shared" si="15"/>
        <v>0.22091459916476686</v>
      </c>
      <c r="E40" s="73">
        <f t="shared" si="15"/>
        <v>0.13115181371714105</v>
      </c>
      <c r="F40" s="73" t="str">
        <f t="shared" si="15"/>
        <v/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94</v>
      </c>
      <c r="C42" s="72">
        <f t="shared" ref="C42:M42" si="16">IF(C33="","",C23/C25)</f>
        <v>0.47830428855185242</v>
      </c>
      <c r="D42" s="72">
        <f t="shared" si="16"/>
        <v>0.21067747640142731</v>
      </c>
      <c r="E42" s="72">
        <f t="shared" si="16"/>
        <v>0.3658072129265339</v>
      </c>
      <c r="F42" s="72">
        <f t="shared" si="16"/>
        <v>0.48911079920354766</v>
      </c>
      <c r="G42" s="72" t="str">
        <f t="shared" si="16"/>
        <v/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95</v>
      </c>
      <c r="C43" s="15">
        <f t="shared" ref="C43:M43" si="17">IF(C33="","",C24/C25)</f>
        <v>0.94270840320822402</v>
      </c>
      <c r="D43" s="15">
        <f t="shared" si="17"/>
        <v>0.47957644601336491</v>
      </c>
      <c r="E43" s="15">
        <f t="shared" si="17"/>
        <v>0.61561253354288126</v>
      </c>
      <c r="F43" s="15">
        <f t="shared" si="17"/>
        <v>0.63191451660286035</v>
      </c>
      <c r="G43" s="15" t="str">
        <f t="shared" si="17"/>
        <v/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96</v>
      </c>
      <c r="C44" s="77">
        <f t="shared" ref="C44:M44" si="18">IF(C33="","",IF(C24&lt;=0,"-",C14/C24))</f>
        <v>0.19422198313615202</v>
      </c>
      <c r="D44" s="77">
        <f t="shared" si="18"/>
        <v>0.4347085642411912</v>
      </c>
      <c r="E44" s="77">
        <f t="shared" si="18"/>
        <v>0.34794906535634029</v>
      </c>
      <c r="F44" s="77">
        <f t="shared" si="18"/>
        <v>0.20915812085330965</v>
      </c>
      <c r="G44" s="77" t="str">
        <f t="shared" si="18"/>
        <v/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97</v>
      </c>
      <c r="C45" s="77">
        <f t="shared" ref="C45:M45" si="19">IF(C31="","",IF(C17&lt;=0,"-",C17/C16))</f>
        <v>0.14476878675606916</v>
      </c>
      <c r="D45" s="77">
        <f t="shared" si="19"/>
        <v>0.12198030508156801</v>
      </c>
      <c r="E45" s="77">
        <f t="shared" si="19"/>
        <v>0.19881727612308103</v>
      </c>
      <c r="F45" s="77" t="str">
        <f t="shared" si="19"/>
        <v/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98</v>
      </c>
      <c r="C46" s="78">
        <f t="shared" ref="C46:M46" si="20">IF(C33="","",C20/C21)</f>
        <v>2.0717232859549286</v>
      </c>
      <c r="D46" s="78">
        <f t="shared" si="20"/>
        <v>1.5241422258436697</v>
      </c>
      <c r="E46" s="78">
        <f t="shared" si="20"/>
        <v>1.4136724470801916</v>
      </c>
      <c r="F46" s="78">
        <f t="shared" si="20"/>
        <v>1.6186800425948145</v>
      </c>
      <c r="G46" s="78" t="str">
        <f t="shared" si="20"/>
        <v/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9"/>
      <c r="D48" s="79"/>
      <c r="E48" s="79"/>
      <c r="F48" s="79"/>
    </row>
    <row r="49" spans="1:6" ht="15.75" customHeight="1" x14ac:dyDescent="0.3">
      <c r="A49" s="9"/>
      <c r="B49" s="6" t="s">
        <v>100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101</v>
      </c>
      <c r="C50" s="6"/>
      <c r="D50" s="350" t="s">
        <v>102</v>
      </c>
      <c r="E50" s="316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3">
      <c r="A69" s="9"/>
      <c r="B69" s="93" t="s">
        <v>114</v>
      </c>
      <c r="C69" s="99">
        <f>C14</f>
        <v>750613</v>
      </c>
      <c r="D69" s="99">
        <f>C69+C54-F66</f>
        <v>750613</v>
      </c>
      <c r="E69" s="80" t="s">
        <v>115</v>
      </c>
      <c r="F69" s="94" t="s">
        <v>116</v>
      </c>
    </row>
    <row r="70" spans="1:6" ht="15.75" customHeight="1" x14ac:dyDescent="0.3">
      <c r="A70" s="9"/>
      <c r="B70" s="93" t="s">
        <v>117</v>
      </c>
      <c r="C70" s="100">
        <f t="shared" ref="C70:D70" si="25">C69/$C$7</f>
        <v>0.16867082456493185</v>
      </c>
      <c r="D70" s="100">
        <f t="shared" si="25"/>
        <v>0.16867082456493185</v>
      </c>
      <c r="E70" s="80" t="s">
        <v>118</v>
      </c>
      <c r="F70" s="94" t="s">
        <v>119</v>
      </c>
    </row>
    <row r="71" spans="1:6" ht="15.75" customHeight="1" x14ac:dyDescent="0.3">
      <c r="A71" s="9"/>
      <c r="B71" s="93" t="s">
        <v>120</v>
      </c>
      <c r="C71" s="99">
        <f>C31</f>
        <v>1071001.7526</v>
      </c>
      <c r="D71" s="99">
        <f>C71+E65-F66</f>
        <v>1071001.7526</v>
      </c>
      <c r="E71" s="80" t="s">
        <v>121</v>
      </c>
      <c r="F71" s="94" t="s">
        <v>122</v>
      </c>
    </row>
    <row r="72" spans="1:6" ht="15.75" customHeight="1" x14ac:dyDescent="0.3">
      <c r="A72" s="9"/>
      <c r="B72" s="93" t="s">
        <v>123</v>
      </c>
      <c r="C72" s="99">
        <f>C16</f>
        <v>562959.75</v>
      </c>
      <c r="D72" s="99">
        <f>C72+C55</f>
        <v>562959.75</v>
      </c>
      <c r="E72" s="80" t="s">
        <v>124</v>
      </c>
      <c r="F72" s="94" t="s">
        <v>125</v>
      </c>
    </row>
    <row r="73" spans="1:6" ht="15.75" customHeight="1" x14ac:dyDescent="0.3">
      <c r="A73" s="9"/>
      <c r="B73" s="93" t="s">
        <v>126</v>
      </c>
      <c r="C73" s="99">
        <f>F3</f>
        <v>502033</v>
      </c>
      <c r="D73" s="99">
        <f>C73+C54-F66</f>
        <v>502033</v>
      </c>
      <c r="E73" s="80" t="s">
        <v>127</v>
      </c>
      <c r="F73" s="94" t="s">
        <v>125</v>
      </c>
    </row>
    <row r="74" spans="1:6" ht="15.75" customHeight="1" x14ac:dyDescent="0.3">
      <c r="A74" s="9"/>
      <c r="B74" s="101" t="s">
        <v>128</v>
      </c>
      <c r="C74" s="102">
        <f>C33</f>
        <v>6416809</v>
      </c>
      <c r="D74" s="102">
        <f>C74+E65</f>
        <v>6416809</v>
      </c>
      <c r="E74" s="8" t="s">
        <v>129</v>
      </c>
      <c r="F74" s="103" t="s">
        <v>125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H13" sqref="H1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6">
        <f>C39-H39</f>
        <v>4099589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7" t="s">
        <v>133</v>
      </c>
      <c r="C5" s="6"/>
      <c r="D5" s="108">
        <f>E39-H39-E43</f>
        <v>858650.40000000037</v>
      </c>
      <c r="E5" s="15">
        <f>1-D5/D3</f>
        <v>0.79055207729360177</v>
      </c>
      <c r="F5" s="6"/>
      <c r="G5" s="109" t="s">
        <v>134</v>
      </c>
      <c r="H5" s="30">
        <f>IF(Data!F3&lt;=0,"NNI",D6/((Data!F3*Dashboard!H13)/(Dashboard!H5/Data!C4)))</f>
        <v>1.7103465310049348</v>
      </c>
      <c r="I5" s="6"/>
    </row>
    <row r="6" spans="1:9" ht="15" customHeight="1" x14ac:dyDescent="0.3">
      <c r="B6" s="80" t="s">
        <v>135</v>
      </c>
      <c r="D6" s="110">
        <f>(D5*Dashboard!H13*Data!C4)/Dashboard!H5</f>
        <v>0.23851400000000009</v>
      </c>
      <c r="E6" s="111"/>
      <c r="G6" s="109" t="s">
        <v>136</v>
      </c>
      <c r="H6" s="30">
        <f>D6/(Data!C25*Dashboard!H13*Data!C4/Common_Shares)</f>
        <v>0.2094479227063982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3">
      <c r="B10" s="5" t="s">
        <v>143</v>
      </c>
      <c r="C10" s="113">
        <v>1547497</v>
      </c>
      <c r="D10" s="114">
        <v>1</v>
      </c>
      <c r="E10" s="34">
        <f>C10*D10</f>
        <v>1547497</v>
      </c>
      <c r="F10" s="6"/>
      <c r="G10" s="5" t="s">
        <v>144</v>
      </c>
      <c r="H10" s="113">
        <v>401073</v>
      </c>
      <c r="I10" s="6"/>
    </row>
    <row r="11" spans="1:9" ht="14" x14ac:dyDescent="0.3">
      <c r="B11" s="5" t="s">
        <v>145</v>
      </c>
      <c r="C11" s="113">
        <v>103</v>
      </c>
      <c r="D11" s="114">
        <v>1</v>
      </c>
      <c r="E11" s="34">
        <f t="shared" ref="E11:E17" si="0">C11*D11</f>
        <v>103</v>
      </c>
      <c r="F11" s="6"/>
      <c r="G11" s="5" t="s">
        <v>146</v>
      </c>
      <c r="H11" s="113">
        <v>0</v>
      </c>
      <c r="I11" s="6"/>
    </row>
    <row r="12" spans="1:9" ht="14" x14ac:dyDescent="0.3">
      <c r="B12" s="5" t="s">
        <v>147</v>
      </c>
      <c r="C12" s="113">
        <v>0</v>
      </c>
      <c r="D12" s="114">
        <v>0.7</v>
      </c>
      <c r="E12" s="34">
        <f t="shared" si="0"/>
        <v>0</v>
      </c>
      <c r="F12" s="6"/>
      <c r="G12" s="5" t="s">
        <v>148</v>
      </c>
      <c r="H12" s="113">
        <v>1502793</v>
      </c>
      <c r="I12" s="6"/>
    </row>
    <row r="13" spans="1:9" ht="14" x14ac:dyDescent="0.3">
      <c r="B13" s="5" t="s">
        <v>149</v>
      </c>
      <c r="C13" s="113">
        <v>2348284</v>
      </c>
      <c r="D13" s="114">
        <v>0.8</v>
      </c>
      <c r="E13" s="34">
        <f t="shared" si="0"/>
        <v>1878627.2000000002</v>
      </c>
      <c r="F13" s="6"/>
      <c r="G13" s="5" t="s">
        <v>150</v>
      </c>
      <c r="H13" s="113">
        <v>68844</v>
      </c>
      <c r="I13" s="6"/>
    </row>
    <row r="14" spans="1:9" ht="14" x14ac:dyDescent="0.3">
      <c r="B14" s="5" t="s">
        <v>151</v>
      </c>
      <c r="C14" s="113">
        <v>164379</v>
      </c>
      <c r="D14" s="114">
        <v>0.6</v>
      </c>
      <c r="E14" s="34">
        <f t="shared" si="0"/>
        <v>98627.4</v>
      </c>
      <c r="F14" s="6"/>
      <c r="G14" s="5" t="s">
        <v>152</v>
      </c>
      <c r="H14" s="113">
        <v>80124</v>
      </c>
      <c r="I14" s="6"/>
    </row>
    <row r="15" spans="1:9" ht="14" x14ac:dyDescent="0.3">
      <c r="B15" s="5" t="s">
        <v>153</v>
      </c>
      <c r="C15" s="113">
        <v>99105</v>
      </c>
      <c r="D15" s="114">
        <v>0.95</v>
      </c>
      <c r="E15" s="34">
        <f t="shared" si="0"/>
        <v>94149.75</v>
      </c>
      <c r="F15" s="6"/>
      <c r="G15" s="5" t="s">
        <v>154</v>
      </c>
      <c r="H15" s="113">
        <v>0</v>
      </c>
      <c r="I15" s="6"/>
    </row>
    <row r="16" spans="1:9" ht="14" x14ac:dyDescent="0.3">
      <c r="B16" s="5" t="s">
        <v>155</v>
      </c>
      <c r="C16" s="113">
        <v>93536</v>
      </c>
      <c r="D16" s="114">
        <v>0.5</v>
      </c>
      <c r="E16" s="34">
        <f t="shared" si="0"/>
        <v>46768</v>
      </c>
      <c r="F16" s="6"/>
      <c r="G16" s="5" t="s">
        <v>156</v>
      </c>
      <c r="H16" s="113">
        <v>0</v>
      </c>
      <c r="I16" s="6"/>
    </row>
    <row r="17" spans="2:9" ht="14" x14ac:dyDescent="0.3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158</v>
      </c>
      <c r="C19" s="116">
        <f>SUM(C10:C12)+C14</f>
        <v>1711979</v>
      </c>
      <c r="D19" s="117">
        <f t="shared" ref="D19:D21" si="1">E19/C19</f>
        <v>0.96159322047758755</v>
      </c>
      <c r="E19" s="118">
        <f>SUM(E10:E12)+E14</f>
        <v>1646227.4</v>
      </c>
      <c r="F19" s="6"/>
      <c r="G19" s="115" t="s">
        <v>159</v>
      </c>
      <c r="H19" s="119">
        <f t="shared" ref="H19:H20" si="2">E19/$H$21</f>
        <v>0.80192913796244603</v>
      </c>
      <c r="I19" s="14" t="str">
        <f>IF(H19&lt;1,"Liquidity Problem!","")</f>
        <v>Liquidity Problem!</v>
      </c>
    </row>
    <row r="20" spans="2:9" ht="15" customHeight="1" x14ac:dyDescent="0.3">
      <c r="B20" s="115" t="s">
        <v>160</v>
      </c>
      <c r="C20" s="116">
        <f>C19+C13</f>
        <v>4060263</v>
      </c>
      <c r="D20" s="117">
        <f t="shared" si="1"/>
        <v>0.86813455187508792</v>
      </c>
      <c r="E20" s="34">
        <f>E19+E13</f>
        <v>3524854.6</v>
      </c>
      <c r="F20" s="6"/>
      <c r="G20" s="115" t="s">
        <v>161</v>
      </c>
      <c r="H20" s="119">
        <f t="shared" si="2"/>
        <v>1.7170675271356575</v>
      </c>
      <c r="I20" s="14"/>
    </row>
    <row r="21" spans="2:9" ht="15" customHeight="1" x14ac:dyDescent="0.3">
      <c r="B21" s="5" t="s">
        <v>162</v>
      </c>
      <c r="C21" s="116">
        <f>SUM(C10:C17)</f>
        <v>4252904</v>
      </c>
      <c r="D21" s="15">
        <f t="shared" si="1"/>
        <v>0.86194570815612115</v>
      </c>
      <c r="E21" s="34">
        <f>SUM(E10:E17)</f>
        <v>3665772.35</v>
      </c>
      <c r="F21" s="6"/>
      <c r="G21" s="5" t="s">
        <v>73</v>
      </c>
      <c r="H21" s="116">
        <f>SUM(H10:H16)</f>
        <v>2052834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3">
        <v>2968486</v>
      </c>
      <c r="D23" s="114">
        <v>0.6</v>
      </c>
      <c r="E23" s="34">
        <f t="shared" ref="E23:E31" si="3">C23*D23</f>
        <v>1781091.5999999999</v>
      </c>
      <c r="F23" s="6"/>
      <c r="G23" s="5" t="s">
        <v>164</v>
      </c>
      <c r="H23" s="113">
        <v>1960851</v>
      </c>
      <c r="I23" s="6"/>
    </row>
    <row r="24" spans="2:9" ht="15" customHeight="1" x14ac:dyDescent="0.3">
      <c r="B24" s="5" t="s">
        <v>165</v>
      </c>
      <c r="C24" s="113">
        <v>516305</v>
      </c>
      <c r="D24" s="114">
        <v>0.6</v>
      </c>
      <c r="E24" s="34">
        <f t="shared" si="3"/>
        <v>309783</v>
      </c>
      <c r="F24" s="6"/>
      <c r="G24" s="5" t="s">
        <v>166</v>
      </c>
      <c r="H24" s="113">
        <v>0</v>
      </c>
      <c r="I24" s="6"/>
    </row>
    <row r="25" spans="2:9" ht="15" customHeight="1" x14ac:dyDescent="0.3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102710</v>
      </c>
      <c r="I25" s="6"/>
    </row>
    <row r="26" spans="2:9" ht="15" customHeight="1" x14ac:dyDescent="0.3">
      <c r="B26" s="5" t="s">
        <v>169</v>
      </c>
      <c r="C26" s="113">
        <v>41397</v>
      </c>
      <c r="D26" s="114">
        <v>0.6</v>
      </c>
      <c r="E26" s="34">
        <f t="shared" si="3"/>
        <v>24838.2</v>
      </c>
      <c r="F26" s="6"/>
      <c r="G26" s="5" t="s">
        <v>170</v>
      </c>
      <c r="H26" s="113">
        <v>0</v>
      </c>
      <c r="I26" s="6"/>
    </row>
    <row r="27" spans="2:9" ht="14" x14ac:dyDescent="0.3">
      <c r="B27" s="5" t="s">
        <v>171</v>
      </c>
      <c r="C27" s="113">
        <v>203977</v>
      </c>
      <c r="D27" s="114">
        <v>0.3</v>
      </c>
      <c r="E27" s="34">
        <f t="shared" si="3"/>
        <v>61193.1</v>
      </c>
      <c r="F27" s="6"/>
      <c r="G27" s="5" t="s">
        <v>172</v>
      </c>
      <c r="H27" s="113">
        <v>39322</v>
      </c>
      <c r="I27" s="6"/>
    </row>
    <row r="28" spans="2:9" ht="14" x14ac:dyDescent="0.3">
      <c r="B28" s="5" t="s">
        <v>173</v>
      </c>
      <c r="C28" s="113">
        <v>5882</v>
      </c>
      <c r="D28" s="114">
        <v>0.8</v>
      </c>
      <c r="E28" s="34">
        <f t="shared" si="3"/>
        <v>4705.6000000000004</v>
      </c>
      <c r="F28" s="6"/>
      <c r="G28" s="5" t="s">
        <v>174</v>
      </c>
      <c r="H28" s="113">
        <v>232067</v>
      </c>
      <c r="I28" s="6"/>
    </row>
    <row r="29" spans="2:9" ht="14" x14ac:dyDescent="0.3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3">
        <v>44529</v>
      </c>
      <c r="D30" s="114">
        <v>0.95</v>
      </c>
      <c r="E30" s="34">
        <f t="shared" si="3"/>
        <v>42302.549999999996</v>
      </c>
      <c r="F30" s="6"/>
    </row>
    <row r="31" spans="2:9" ht="14" x14ac:dyDescent="0.3">
      <c r="B31" s="5" t="s">
        <v>177</v>
      </c>
      <c r="C31" s="113">
        <v>161740</v>
      </c>
      <c r="D31" s="114">
        <v>0.4</v>
      </c>
      <c r="E31" s="34">
        <f t="shared" si="3"/>
        <v>64696</v>
      </c>
      <c r="F31" s="6"/>
    </row>
    <row r="32" spans="2:9" ht="15" customHeight="1" x14ac:dyDescent="0.3">
      <c r="B32" s="5" t="s">
        <v>178</v>
      </c>
      <c r="C32" s="113">
        <v>0</v>
      </c>
      <c r="D32" s="114">
        <v>1</v>
      </c>
      <c r="E32" s="34">
        <v>0</v>
      </c>
      <c r="F32" s="6"/>
    </row>
    <row r="33" spans="2:9" ht="15" customHeight="1" x14ac:dyDescent="0.3">
      <c r="B33" s="5" t="s">
        <v>179</v>
      </c>
      <c r="C33" s="113">
        <v>292153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6">
        <f>SUM(C23:C33)</f>
        <v>4234469</v>
      </c>
      <c r="D35" s="15">
        <f>E35/C35</f>
        <v>0.54047155617386733</v>
      </c>
      <c r="E35" s="34">
        <f>SUM(E23:E33)</f>
        <v>2288610.0499999998</v>
      </c>
      <c r="F35" s="6"/>
      <c r="G35" s="5" t="s">
        <v>181</v>
      </c>
      <c r="H35" s="116">
        <f>SUM(H23:H28)</f>
        <v>2334950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182</v>
      </c>
      <c r="C37" s="116">
        <f>C19+(C28+C29)+C32</f>
        <v>1717861</v>
      </c>
      <c r="D37" s="117">
        <f>E37/C37</f>
        <v>0.96103992115776538</v>
      </c>
      <c r="E37" s="118">
        <f>E19+(E28+E29)+E32</f>
        <v>1650933</v>
      </c>
      <c r="F37" s="6"/>
      <c r="G37" s="115" t="s">
        <v>183</v>
      </c>
      <c r="H37" s="119">
        <f>E37/$H$39</f>
        <v>0.37625667079327513</v>
      </c>
      <c r="I37" s="14" t="str">
        <f>IF(H37&lt;1,"Liquidity Problem!","")</f>
        <v>Liquidity Problem!</v>
      </c>
    </row>
    <row r="38" spans="2:9" ht="15" customHeight="1" x14ac:dyDescent="0.3">
      <c r="B38" s="115" t="s">
        <v>184</v>
      </c>
      <c r="C38" s="120">
        <f>C37+C31</f>
        <v>1879601</v>
      </c>
      <c r="D38" s="117">
        <f>E38/C38</f>
        <v>0.91276233626179171</v>
      </c>
      <c r="E38" s="34">
        <f>E37+E31</f>
        <v>1715629</v>
      </c>
      <c r="F38" s="6"/>
      <c r="G38" s="115" t="s">
        <v>185</v>
      </c>
      <c r="H38" s="119">
        <f>E38/$H$39</f>
        <v>0.39100124345227566</v>
      </c>
      <c r="I38" s="6"/>
    </row>
    <row r="39" spans="2:9" ht="15" customHeight="1" x14ac:dyDescent="0.3">
      <c r="B39" s="5" t="s">
        <v>186</v>
      </c>
      <c r="C39" s="120">
        <f>C21+C35</f>
        <v>8487373</v>
      </c>
      <c r="D39" s="15">
        <f>E39/C39</f>
        <v>0.7015577611588415</v>
      </c>
      <c r="E39" s="34">
        <f>E21+E35</f>
        <v>5954382.4000000004</v>
      </c>
      <c r="F39" s="6"/>
      <c r="G39" s="5" t="s">
        <v>187</v>
      </c>
      <c r="H39" s="120">
        <f>H21+H35</f>
        <v>4387784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9"/>
    </row>
    <row r="42" spans="2:9" ht="14" x14ac:dyDescent="0.3">
      <c r="B42" s="121" t="s">
        <v>189</v>
      </c>
      <c r="C42" s="5"/>
      <c r="D42" s="359"/>
      <c r="E42" s="359"/>
    </row>
    <row r="43" spans="2:9" ht="14" x14ac:dyDescent="0.3">
      <c r="B43" s="5" t="s">
        <v>190</v>
      </c>
      <c r="C43" s="122">
        <v>707948</v>
      </c>
      <c r="D43" s="75" t="str">
        <f>IF(E43=C43,"BV of the MI","P/B Approach")</f>
        <v>BV of the MI</v>
      </c>
      <c r="E43" s="34">
        <f>MAX(C43,C43*Dashboard!H11)</f>
        <v>707948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80"/>
    </row>
    <row r="46" spans="2:9" ht="14" x14ac:dyDescent="0.3">
      <c r="B46" s="107" t="s">
        <v>192</v>
      </c>
      <c r="C46" s="6"/>
      <c r="D46" s="360">
        <v>0</v>
      </c>
      <c r="E46" s="316"/>
      <c r="F46" s="5"/>
    </row>
    <row r="47" spans="2:9" ht="14" x14ac:dyDescent="0.3">
      <c r="B47" s="107" t="s">
        <v>193</v>
      </c>
      <c r="C47" s="6"/>
      <c r="D47" s="360">
        <v>0</v>
      </c>
      <c r="E47" s="316"/>
      <c r="F47" s="6" t="s">
        <v>194</v>
      </c>
    </row>
    <row r="48" spans="2:9" ht="12.75" customHeight="1" x14ac:dyDescent="0.3">
      <c r="B48" s="80" t="s">
        <v>195</v>
      </c>
      <c r="C48" s="6"/>
      <c r="D48" s="339">
        <f>Data!C24+D46+D47</f>
        <v>3864717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80" t="s">
        <v>199</v>
      </c>
      <c r="C51" s="6"/>
      <c r="D51" s="361">
        <f>E11+E12+E25+E28+E29</f>
        <v>4808.6000000000004</v>
      </c>
      <c r="E51" s="362"/>
      <c r="F51" s="15">
        <f>1-(E12+E25+E28+E29)/(C12+C25+C28+C29)</f>
        <v>0.19999999999999996</v>
      </c>
      <c r="G51" s="6"/>
    </row>
    <row r="52" spans="2:7" ht="14" x14ac:dyDescent="0.3">
      <c r="B52" s="80" t="s">
        <v>143</v>
      </c>
      <c r="C52" s="6"/>
      <c r="D52" s="339">
        <f>C10+C32</f>
        <v>1547497</v>
      </c>
      <c r="E52" s="357"/>
      <c r="F52" s="6"/>
    </row>
    <row r="53" spans="2:7" ht="14" x14ac:dyDescent="0.3">
      <c r="B53" s="80" t="s">
        <v>200</v>
      </c>
      <c r="C53" s="6"/>
      <c r="D53" s="339">
        <f>((Dashboard!H6*1000)+D48+E43-(C12+C25+C28+C29)-D52)</f>
        <v>5359286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topLeftCell="A37" zoomScale="125" workbookViewId="0">
      <selection activeCell="C49" sqref="C4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67</v>
      </c>
      <c r="C4" s="127">
        <f>Data!J4</f>
        <v>0.38351853198530406</v>
      </c>
      <c r="D4" s="128">
        <f>IF(E7="",D16/C16-1,(G16/C16)^(1/4)-1)</f>
        <v>-1.8820294878985511E-2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3">
      <c r="B7" s="5" t="s">
        <v>207</v>
      </c>
      <c r="C7" s="59">
        <f>Data!C8</f>
        <v>0.26423454005017555</v>
      </c>
      <c r="D7" s="132">
        <f>D8/C8-1</f>
        <v>7.6067067176160963E-2</v>
      </c>
      <c r="E7" s="133"/>
      <c r="F7" s="236"/>
      <c r="G7" s="224"/>
      <c r="H7" s="6"/>
      <c r="I7" s="134"/>
    </row>
    <row r="8" spans="1:13" ht="15.75" customHeight="1" x14ac:dyDescent="0.3">
      <c r="B8" s="5" t="s">
        <v>208</v>
      </c>
      <c r="C8" s="135">
        <f>Data!C7</f>
        <v>4450165</v>
      </c>
      <c r="D8" s="242">
        <f>2394338*2</f>
        <v>4788676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209</v>
      </c>
      <c r="C9" s="70">
        <f>Data!C9</f>
        <v>3288007</v>
      </c>
      <c r="D9" s="243">
        <f>D8*(1-D10)</f>
        <v>3809391.7579999999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210</v>
      </c>
      <c r="C10" s="59">
        <f>Data!C10</f>
        <v>0.26114941805528558</v>
      </c>
      <c r="D10" s="138">
        <v>0.20449999999999999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211</v>
      </c>
      <c r="C11" s="34">
        <f t="shared" ref="C11" si="0">C8-C9</f>
        <v>1162158</v>
      </c>
      <c r="D11" s="68">
        <f>D8-D9</f>
        <v>979284.24200000009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64</v>
      </c>
      <c r="C12" s="62">
        <f>Data!C12</f>
        <v>9.2478593490353728E-2</v>
      </c>
      <c r="D12" s="139">
        <f>D13/D8</f>
        <v>5.0702532390999096E-2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212</v>
      </c>
      <c r="C13" s="141">
        <f>Data!C11</f>
        <v>411545</v>
      </c>
      <c r="D13" s="142">
        <f>220045+10154+12599</f>
        <v>242798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213</v>
      </c>
      <c r="C14" s="19">
        <f>Data!C13</f>
        <v>0.16867082456493185</v>
      </c>
      <c r="D14" s="132">
        <f>D16/D8</f>
        <v>0.15379746760900093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214</v>
      </c>
      <c r="C15" s="15">
        <f>Data!C15</f>
        <v>-1.8158392141217405E-2</v>
      </c>
      <c r="D15" s="139">
        <f>IF(ABS(C16+D16)=ABS(C16)+ABS(D16),IF(D16&lt;0,-1,1)*(D16-C16)/C16,"Turn")</f>
        <v>-1.8820294878985462E-2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3">
      <c r="B16" s="5" t="s">
        <v>66</v>
      </c>
      <c r="C16" s="34">
        <f>IF(Data!D50="No",Data!C69,Data!D69)</f>
        <v>750613</v>
      </c>
      <c r="D16" s="68">
        <f>D11-D13</f>
        <v>736486.24200000009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762557.85496680019</v>
      </c>
      <c r="H16" s="6"/>
      <c r="I16" s="147"/>
      <c r="K16" s="104"/>
      <c r="M16" s="104"/>
    </row>
    <row r="17" spans="2:13" ht="15.75" customHeight="1" x14ac:dyDescent="0.3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123</v>
      </c>
      <c r="C18" s="149">
        <f>IF(Data!D50="No",Data!C72,Data!D72)</f>
        <v>562959.75</v>
      </c>
      <c r="D18" s="150">
        <f>IF(D16&lt;=0,D16,D16*(1-D17))</f>
        <v>552364.68150000006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571918.39122510015</v>
      </c>
      <c r="H18" s="6"/>
      <c r="I18" s="151"/>
      <c r="K18" s="104"/>
      <c r="M18" s="104"/>
    </row>
    <row r="19" spans="2:13" ht="15.75" customHeight="1" x14ac:dyDescent="0.3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3">
      <c r="B20" s="18" t="s">
        <v>84</v>
      </c>
      <c r="C20" s="15">
        <f t="shared" ref="C20" si="1">C21/C18</f>
        <v>1.9024481814197196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35">
      <c r="B21" s="153" t="s">
        <v>120</v>
      </c>
      <c r="C21" s="154">
        <f>IF(Data!D50="No",Data!C71,Data!D71)</f>
        <v>1071001.7526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220</v>
      </c>
      <c r="C22" s="247"/>
      <c r="D22" s="158">
        <f>IF(D18="","",IF(E7="",D18*(1-D20),D18-D21))</f>
        <v>309159.33666044776</v>
      </c>
      <c r="E22" s="158" t="str">
        <f>IF(E7="","",E18-E21)</f>
        <v/>
      </c>
      <c r="F22" s="158" t="str">
        <f>IF(F15="","",F18*(1-F20))</f>
        <v/>
      </c>
      <c r="G22" s="159">
        <f>G18*(1-G20)</f>
        <v>320103.57717822766</v>
      </c>
      <c r="H22" s="157"/>
      <c r="I22" s="104"/>
      <c r="M22" s="104"/>
    </row>
    <row r="23" spans="2:13" ht="15.75" customHeight="1" x14ac:dyDescent="0.3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223</v>
      </c>
      <c r="C25" s="226"/>
      <c r="D25" s="231">
        <f>IF(D16="","",D22/D24)</f>
        <v>290181.46861314791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224</v>
      </c>
      <c r="C27" s="134" t="s">
        <v>225</v>
      </c>
      <c r="G27" s="6"/>
    </row>
    <row r="28" spans="2:13" ht="15.75" customHeight="1" x14ac:dyDescent="0.3">
      <c r="B28" s="3" t="s">
        <v>226</v>
      </c>
      <c r="C28" s="163">
        <f>IF(OR(E15="",F15=""),D16,E16)*(1+G15)</f>
        <v>762557.85496680019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4">
        <f>(C28*(1-G17))/F28</f>
        <v>7113412.8261828376</v>
      </c>
      <c r="G29" s="6"/>
    </row>
    <row r="30" spans="2:13" ht="15.75" customHeight="1" thickTop="1" x14ac:dyDescent="0.3">
      <c r="B30" s="107" t="s">
        <v>229</v>
      </c>
      <c r="C30" s="163">
        <f>C29/(IF(OR(E15="",F15=""),D24,E24)*(1+G23))</f>
        <v>6179890.0119719738</v>
      </c>
      <c r="G30" s="6"/>
    </row>
    <row r="31" spans="2:13" ht="15.75" customHeight="1" x14ac:dyDescent="0.3">
      <c r="B31" s="107" t="s">
        <v>230</v>
      </c>
      <c r="C31" s="163">
        <f>IF(OR(E15="",F15=""),D18*0.5/D24,D25+E25)</f>
        <v>259228.77862774549</v>
      </c>
    </row>
    <row r="32" spans="2:13" ht="15.75" customHeight="1" x14ac:dyDescent="0.3">
      <c r="B32" s="107" t="s">
        <v>231</v>
      </c>
      <c r="C32" s="163">
        <f>'Asset Model'!D51</f>
        <v>4808.6000000000004</v>
      </c>
    </row>
    <row r="33" spans="2:13" ht="15.75" customHeight="1" x14ac:dyDescent="0.3">
      <c r="B33" s="107" t="s">
        <v>232</v>
      </c>
      <c r="C33" s="163">
        <f>Data!C27</f>
        <v>1547497</v>
      </c>
    </row>
    <row r="34" spans="2:13" ht="15.75" customHeight="1" x14ac:dyDescent="0.3">
      <c r="B34" s="80" t="s">
        <v>233</v>
      </c>
      <c r="C34" s="163">
        <f>'Asset Model'!D48</f>
        <v>3864717</v>
      </c>
    </row>
    <row r="35" spans="2:13" ht="15.75" customHeight="1" thickBot="1" x14ac:dyDescent="0.35">
      <c r="B35" s="165" t="s">
        <v>234</v>
      </c>
      <c r="C35" s="163">
        <f>'Asset Model'!E43</f>
        <v>707948</v>
      </c>
    </row>
    <row r="36" spans="2:13" ht="15.75" customHeight="1" thickTop="1" x14ac:dyDescent="0.3">
      <c r="B36" s="5" t="s">
        <v>235</v>
      </c>
      <c r="C36" s="166">
        <f>C30+C31+(C32+C33-C34-C35)</f>
        <v>3418759.3905997197</v>
      </c>
      <c r="D36" s="167" t="str">
        <f>Dashboard!H12</f>
        <v>HKD</v>
      </c>
      <c r="E36" s="6"/>
    </row>
    <row r="37" spans="2:13" ht="15.75" customHeight="1" x14ac:dyDescent="0.3">
      <c r="B37" s="5" t="s">
        <v>236</v>
      </c>
      <c r="C37" s="168">
        <f>C36*Data!C4/Common_Shares*Exchange_Rate</f>
        <v>0.94965538627769985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9"/>
      <c r="D39" s="26"/>
      <c r="E39" s="170"/>
      <c r="F39" s="171"/>
    </row>
    <row r="40" spans="2:13" ht="15.75" customHeight="1" x14ac:dyDescent="0.3">
      <c r="B40" s="3" t="s">
        <v>226</v>
      </c>
      <c r="C40" s="163">
        <f>G16</f>
        <v>762557.85496680019</v>
      </c>
      <c r="D40" s="26"/>
      <c r="E40" s="170"/>
      <c r="F40" s="171"/>
    </row>
    <row r="41" spans="2:13" ht="15.75" customHeight="1" thickBot="1" x14ac:dyDescent="0.35">
      <c r="B41" s="80" t="s">
        <v>228</v>
      </c>
      <c r="C41" s="164">
        <f>G22/(G23-G15)</f>
        <v>7113412.8261828367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229</v>
      </c>
      <c r="C42" s="163">
        <f>C41/G24</f>
        <v>6179890.0119719738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230</v>
      </c>
      <c r="C43" s="163">
        <f>SUM(D25:F25)</f>
        <v>290181.46861314791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235</v>
      </c>
      <c r="C44" s="166">
        <f>C43+C42+(C32+C33-C34-C35)</f>
        <v>3449712.0805851216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6.8714847043623069</v>
      </c>
      <c r="G44" s="6"/>
      <c r="H44" s="176"/>
      <c r="I44" s="6"/>
    </row>
    <row r="45" spans="2:13" ht="15.75" customHeight="1" x14ac:dyDescent="0.3">
      <c r="B45" s="5" t="s">
        <v>236</v>
      </c>
      <c r="C45" s="168">
        <f>C44*Data!C4/Common_Shares*Exchange_Rate</f>
        <v>0.95825335571808934</v>
      </c>
      <c r="D45" s="76" t="str">
        <f>Dashboard!I4</f>
        <v>HKD</v>
      </c>
      <c r="E45" s="170" t="s">
        <v>136</v>
      </c>
      <c r="F45" s="30">
        <f>C45/(Data!C25*Exchange_Rate*Data!C4/Common_Shares)</f>
        <v>0.84147754337937819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3">
      <c r="C48" s="6"/>
      <c r="D48" s="6"/>
      <c r="E48" s="181">
        <f>G18/F41</f>
        <v>7113412.8261828367</v>
      </c>
      <c r="F48" s="182"/>
      <c r="I48" s="183"/>
    </row>
    <row r="49" spans="1:12" ht="15.75" customHeight="1" x14ac:dyDescent="0.3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7113412.8261828367</v>
      </c>
      <c r="F49" s="186">
        <f>(E49/G24+C43+(C32+C33-C34-C35))*Data!C$4/Common_Shares*Exchange_Rate</f>
        <v>0.95825335571808934</v>
      </c>
      <c r="G49" s="187">
        <f>IF(Data!F$3&lt;=0,"NNI",F49/((Data!F$3*Exchange_Rate)/(Common_Shares/Data!C$4)))</f>
        <v>6.8714847043623069</v>
      </c>
      <c r="I49" s="134" t="s">
        <v>244</v>
      </c>
    </row>
    <row r="50" spans="1:12" ht="15.75" customHeight="1" x14ac:dyDescent="0.3">
      <c r="C50" s="188">
        <f>1/D50</f>
        <v>12.450199203187248</v>
      </c>
      <c r="D50" s="15">
        <f>D49-((D$49-D$54)/5)</f>
        <v>8.0320000000000016E-2</v>
      </c>
      <c r="E50" s="189">
        <v>7120497.8987188749</v>
      </c>
      <c r="F50" s="186">
        <f>(E50/G24+C43+(C32+C33-C34-C35))*Data!C$4/Common_Shares*Exchange_Rate</f>
        <v>0.95996315264481891</v>
      </c>
      <c r="G50" s="188">
        <f>IF(Data!F$3&lt;=0,"NNI",F50/((Data!F$3*Exchange_Rate)/(Common_Shares/Data!C$4)))</f>
        <v>6.883745390285795</v>
      </c>
      <c r="I50" s="134"/>
    </row>
    <row r="51" spans="1:12" ht="15.75" customHeight="1" x14ac:dyDescent="0.3">
      <c r="C51" s="188">
        <f>1/D51</f>
        <v>12.462612163509469</v>
      </c>
      <c r="D51" s="15">
        <f>D50-((D$49-D$54)/5)</f>
        <v>8.024000000000002E-2</v>
      </c>
      <c r="E51" s="189">
        <v>7131863.4181102868</v>
      </c>
      <c r="F51" s="186">
        <f>(E51/G24+C43+(C32+C33-C34-C35))*Data!C$4/Common_Shares*Exchange_Rate</f>
        <v>0.96270592345306061</v>
      </c>
      <c r="G51" s="188">
        <f>IF(Data!F$3&lt;=0,"NNI",F51/((Data!F$3*Exchange_Rate)/(Common_Shares/Data!C$4)))</f>
        <v>6.903413370099214</v>
      </c>
      <c r="I51" s="134"/>
    </row>
    <row r="52" spans="1:12" ht="15.75" customHeight="1" x14ac:dyDescent="0.3">
      <c r="C52" s="188">
        <f t="shared" ref="C52:C53" si="2">1/D52</f>
        <v>12.475049900199597</v>
      </c>
      <c r="D52" s="15">
        <f>D51-((D$49-D$54)/5)</f>
        <v>8.0160000000000023E-2</v>
      </c>
      <c r="E52" s="189">
        <v>7142123.4518000223</v>
      </c>
      <c r="F52" s="186">
        <f>(E52/G24+C43+(C32+C33-C34-C35))*Data!C$4/Common_Shares*Exchange_Rate</f>
        <v>0.96518191420426658</v>
      </c>
      <c r="G52" s="188">
        <f>IF(Data!F$3&lt;=0,"NNI",F52/((Data!F$3*Exchange_Rate)/(Common_Shares/Data!C$4)))</f>
        <v>6.9211683119144753</v>
      </c>
      <c r="I52" s="134" t="s">
        <v>245</v>
      </c>
    </row>
    <row r="53" spans="1:12" ht="15.75" customHeight="1" x14ac:dyDescent="0.3">
      <c r="C53" s="188">
        <f t="shared" si="2"/>
        <v>12.487512487512483</v>
      </c>
      <c r="D53" s="15">
        <f>D52-((D$49-D$54)/5)</f>
        <v>8.0080000000000026E-2</v>
      </c>
      <c r="E53" s="189">
        <v>7147607.549664217</v>
      </c>
      <c r="F53" s="186">
        <f>(E53/G24+C43+(C32+C33-C34-C35))*Data!C$4/Common_Shares*Exchange_Rate</f>
        <v>0.96650535777190683</v>
      </c>
      <c r="G53" s="188">
        <f>IF(Data!F$3&lt;=0,"NNI",F53/((Data!F$3*Exchange_Rate)/(Common_Shares/Data!C$4)))</f>
        <v>6.9306585184218266</v>
      </c>
      <c r="I53" s="134"/>
    </row>
    <row r="54" spans="1:12" ht="15.75" customHeight="1" x14ac:dyDescent="0.3">
      <c r="B54" s="3" t="s">
        <v>246</v>
      </c>
      <c r="C54" s="190">
        <f>1/D54</f>
        <v>12.5</v>
      </c>
      <c r="D54" s="148">
        <v>0.08</v>
      </c>
      <c r="E54" s="191">
        <v>7148979.890313752</v>
      </c>
      <c r="F54" s="192">
        <f>(E54/G24+C43+(C32+C33-C34-C35))*Data!C$4/Common_Shares*Exchange_Rate</f>
        <v>0.966836536290273</v>
      </c>
      <c r="G54" s="190">
        <f>IF(Data!F$3&lt;=0,"NNI",F54/((Data!F$3*Exchange_Rate)/(Common_Shares/Data!C$4)))</f>
        <v>6.9330333476982249</v>
      </c>
      <c r="I54" s="134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247</v>
      </c>
      <c r="C57" s="195">
        <f>C37</f>
        <v>0.94965538627769985</v>
      </c>
      <c r="D57" s="26" t="str">
        <f>IF(C57&lt;E57,"&lt;",IF(C57=E57,"=","&gt;"))</f>
        <v>&lt;</v>
      </c>
      <c r="E57" s="196">
        <f>F54</f>
        <v>0.966836536290273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0.18011658379202578</v>
      </c>
    </row>
    <row r="59" spans="1:12" ht="15.75" hidden="1" customHeight="1" x14ac:dyDescent="0.3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-1.4889887222222222</v>
      </c>
      <c r="K59" s="276">
        <f t="dataTable" ref="K59:K60" dt2D="0" dtr="0" r1="C60" ca="1"/>
        <v>0.18011658379202578</v>
      </c>
    </row>
    <row r="60" spans="1:12" ht="15.75" hidden="1" customHeight="1" x14ac:dyDescent="0.3">
      <c r="B60" s="6"/>
      <c r="C60" s="186">
        <f>J59</f>
        <v>-1.4889887222222222</v>
      </c>
      <c r="D60" s="186">
        <f>D22/(Dashboard!H5/Data!C4)</f>
        <v>8.5877593516791043E-2</v>
      </c>
      <c r="E60" s="186">
        <f>IF(E7="",I60,E22)/(Dashboard!H5/Data!C4)</f>
        <v>1.9723320217976346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7100395.2784714848</v>
      </c>
      <c r="J60" s="277">
        <f>-Dashboard!C22+(C32+C33-C34-C35)/(Dashboard!H5/Data!C4)</f>
        <v>-1.3189887222222221</v>
      </c>
      <c r="K60" s="276">
        <v>0.25582712113497297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284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3">
      <c r="B63" s="6" t="s">
        <v>256</v>
      </c>
      <c r="C63" s="197">
        <f>MIN(C57,E57)+(ABS(C57-E57)*'Qualitative Analysis'!E56)</f>
        <v>0.95511191108824056</v>
      </c>
      <c r="D63" s="262" t="str">
        <f>D45</f>
        <v>HKD</v>
      </c>
      <c r="E63" s="263">
        <f>IF(Data!F3&lt;=0,"NNI",C63/((Data!F3*Exchange_Rate)/(Common_Shares/Data!C4)))</f>
        <v>6.8489578970260245</v>
      </c>
      <c r="F63" s="263">
        <f>C63/(Data!C25*Exchange_Rate*Data!C4/Common_Shares)</f>
        <v>0.83871892521851976</v>
      </c>
      <c r="G63" s="273">
        <f>IRR(C60:G60)</f>
        <v>0.18011658379202578</v>
      </c>
      <c r="H63" s="6"/>
      <c r="I63" s="134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topLeftCell="A94" workbookViewId="0">
      <selection activeCell="E110" sqref="E110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6328125" style="3" customWidth="1"/>
    <col min="6" max="16384" width="12.453125" style="3"/>
  </cols>
  <sheetData>
    <row r="2" spans="1:6" x14ac:dyDescent="0.3">
      <c r="A2" s="4"/>
      <c r="B2" s="12" t="s">
        <v>258</v>
      </c>
      <c r="C2" s="199"/>
      <c r="D2" s="8"/>
      <c r="E2" s="8"/>
    </row>
    <row r="3" spans="1:6" ht="15" customHeight="1" x14ac:dyDescent="0.3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3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3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3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3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3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3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3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3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3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3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3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3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3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3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3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3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3"/>
      <c r="D24" s="13"/>
      <c r="E24" s="13"/>
    </row>
    <row r="25" spans="1:6" ht="14" x14ac:dyDescent="0.3">
      <c r="B25" s="204" t="s">
        <v>296</v>
      </c>
      <c r="C25" s="205"/>
      <c r="D25" s="6"/>
      <c r="E25" s="6"/>
    </row>
    <row r="26" spans="1:6" ht="14" x14ac:dyDescent="0.3">
      <c r="B26" s="6" t="s">
        <v>297</v>
      </c>
      <c r="C26" s="205"/>
      <c r="D26" s="202">
        <f>IF(E26="Strongly disagree",0,IF(E26="disagree",1,IF(E26="unclear",2,IF(E26="agree",3,4))))</f>
        <v>2</v>
      </c>
      <c r="E26" s="45" t="s">
        <v>308</v>
      </c>
      <c r="F26" s="6"/>
    </row>
    <row r="27" spans="1:6" ht="14" x14ac:dyDescent="0.3">
      <c r="B27" s="6" t="s">
        <v>299</v>
      </c>
      <c r="C27" s="205"/>
      <c r="D27" s="202">
        <f t="shared" ref="D27:D28" si="4">IF(E27="Strongly disagree",0,IF(E27="disagree",1,IF(E27="unclear",2,IF(E27="agree",3,4))))</f>
        <v>2</v>
      </c>
      <c r="E27" s="45" t="s">
        <v>308</v>
      </c>
      <c r="F27" s="6"/>
    </row>
    <row r="28" spans="1:6" ht="14" x14ac:dyDescent="0.3">
      <c r="B28" s="6" t="s">
        <v>301</v>
      </c>
      <c r="C28" s="205"/>
      <c r="D28" s="202">
        <f t="shared" si="4"/>
        <v>0</v>
      </c>
      <c r="E28" s="45" t="s">
        <v>341</v>
      </c>
      <c r="F28" s="6"/>
    </row>
    <row r="29" spans="1:6" ht="14" x14ac:dyDescent="0.3">
      <c r="B29" s="206" t="s">
        <v>302</v>
      </c>
      <c r="C29" s="205"/>
      <c r="D29" s="202">
        <f>AVERAGE(D26:D28)</f>
        <v>1.3333333333333333</v>
      </c>
      <c r="E29" s="207">
        <f>D29/4</f>
        <v>0.33333333333333331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303</v>
      </c>
      <c r="C31" s="201"/>
    </row>
    <row r="32" spans="1:6" ht="14" x14ac:dyDescent="0.3">
      <c r="B32" s="201" t="s">
        <v>304</v>
      </c>
      <c r="C32" s="201"/>
      <c r="E32" s="6"/>
    </row>
    <row r="33" spans="2:6" ht="14" x14ac:dyDescent="0.3">
      <c r="B33" s="80" t="s">
        <v>305</v>
      </c>
      <c r="D33" s="209">
        <f>IF(E33="Strongly disagree",0,IF(E33="disagree",1,IF(E33="unclear",2,IF(E33="agree",3,4))))</f>
        <v>1</v>
      </c>
      <c r="E33" s="210" t="str">
        <f>IF(D29&gt;=3.5,"Strongly agree",IF(D29&gt;=2.5,"agree",IF(D29&gt;=1.5,"unclear",IF(D29&gt;=0.5,"disagree","Strongly disagree"))))</f>
        <v>disagree</v>
      </c>
      <c r="F33" s="6"/>
    </row>
    <row r="34" spans="2:6" ht="14" x14ac:dyDescent="0.3">
      <c r="B34" s="80" t="s">
        <v>306</v>
      </c>
      <c r="D34" s="209">
        <f>IF(E34="Strongly disagree",0,IF(E34="disagree",1,IF(E34="unclear",2,IF(E34="agree",3,4))))</f>
        <v>1</v>
      </c>
      <c r="E34" s="45" t="s">
        <v>310</v>
      </c>
      <c r="F34" s="6"/>
    </row>
    <row r="35" spans="2:6" ht="14" x14ac:dyDescent="0.3">
      <c r="B35" s="80" t="s">
        <v>307</v>
      </c>
      <c r="D35" s="209">
        <f>IF(E35="Strongly disagree",0,IF(E35="disagree",1,IF(E35="unclear",2,IF(E35="agree",3,4))))</f>
        <v>3</v>
      </c>
      <c r="E35" s="45" t="s">
        <v>300</v>
      </c>
      <c r="F35" s="6"/>
    </row>
    <row r="36" spans="2:6" ht="14" x14ac:dyDescent="0.3">
      <c r="B36" s="80" t="s">
        <v>309</v>
      </c>
      <c r="D36" s="209">
        <f>IF(E36="Strongly disagree",0,IF(E36="disagree",1,IF(E36="unclear",2,IF(E36="agree",3,4))))</f>
        <v>0</v>
      </c>
      <c r="E36" s="45" t="s">
        <v>341</v>
      </c>
      <c r="F36" s="6"/>
    </row>
    <row r="37" spans="2:6" ht="14" x14ac:dyDescent="0.3">
      <c r="B37" s="80" t="s">
        <v>311</v>
      </c>
      <c r="D37" s="209">
        <f>IF(E37="Strongly disagree",0,IF(E37="disagree",1,IF(E37="unclear",2,IF(E37="agree",3,4))))</f>
        <v>2</v>
      </c>
      <c r="E37" s="45" t="s">
        <v>308</v>
      </c>
      <c r="F37" s="6"/>
    </row>
    <row r="38" spans="2:6" ht="14" x14ac:dyDescent="0.3">
      <c r="B38" s="201" t="s">
        <v>312</v>
      </c>
      <c r="D38" s="54"/>
      <c r="E38" s="26"/>
    </row>
    <row r="39" spans="2:6" ht="14" x14ac:dyDescent="0.3">
      <c r="B39" s="80" t="s">
        <v>313</v>
      </c>
      <c r="D39" s="209">
        <f>IF(E39="Strongly disagree",0,IF(E39="disagree",1,IF(E39="unclear",2,IF(E39="agree",3,4))))</f>
        <v>0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Strongly disagree</v>
      </c>
      <c r="F39" s="6"/>
    </row>
    <row r="40" spans="2:6" ht="14" x14ac:dyDescent="0.3">
      <c r="B40" s="80" t="s">
        <v>314</v>
      </c>
      <c r="D40" s="209">
        <f t="shared" ref="D40:D43" si="5">IF(E40="Strongly disagree",0,IF(E40="disagree",1,IF(E40="unclear",2,IF(E40="agree",3,4))))</f>
        <v>2</v>
      </c>
      <c r="E40" s="45" t="s">
        <v>308</v>
      </c>
      <c r="F40" s="6"/>
    </row>
    <row r="41" spans="2:6" ht="15" customHeight="1" x14ac:dyDescent="0.3">
      <c r="B41" s="80" t="s">
        <v>315</v>
      </c>
      <c r="D41" s="209">
        <f t="shared" si="5"/>
        <v>0</v>
      </c>
      <c r="E41" s="45" t="s">
        <v>341</v>
      </c>
      <c r="F41" s="6"/>
    </row>
    <row r="42" spans="2:6" ht="15" customHeight="1" x14ac:dyDescent="0.3">
      <c r="B42" s="80" t="s">
        <v>316</v>
      </c>
      <c r="D42" s="209">
        <f t="shared" si="5"/>
        <v>2</v>
      </c>
      <c r="E42" s="45" t="s">
        <v>308</v>
      </c>
      <c r="F42" s="6"/>
    </row>
    <row r="43" spans="2:6" ht="15" customHeight="1" x14ac:dyDescent="0.3">
      <c r="B43" s="80" t="s">
        <v>317</v>
      </c>
      <c r="D43" s="209">
        <f t="shared" si="5"/>
        <v>0</v>
      </c>
      <c r="E43" s="45" t="s">
        <v>341</v>
      </c>
      <c r="F43" s="6"/>
    </row>
    <row r="44" spans="2:6" ht="15" customHeight="1" x14ac:dyDescent="0.3">
      <c r="B44" s="201" t="s">
        <v>318</v>
      </c>
      <c r="D44" s="54"/>
      <c r="E44" s="26"/>
    </row>
    <row r="45" spans="2:6" ht="14" x14ac:dyDescent="0.3">
      <c r="B45" s="80" t="s">
        <v>319</v>
      </c>
      <c r="D45" s="209">
        <f t="shared" ref="D45:D49" si="6">IF(E45="Strongly disagree",0,IF(E45="disagree",1,IF(E45="unclear",2,IF(E45="agree",3,4))))</f>
        <v>0</v>
      </c>
      <c r="E45" s="45" t="s">
        <v>341</v>
      </c>
      <c r="F45" s="6"/>
    </row>
    <row r="46" spans="2:6" ht="15" customHeight="1" x14ac:dyDescent="0.3">
      <c r="B46" s="80" t="s">
        <v>320</v>
      </c>
      <c r="D46" s="209">
        <f t="shared" si="6"/>
        <v>2</v>
      </c>
      <c r="E46" s="45" t="s">
        <v>308</v>
      </c>
      <c r="F46" s="6"/>
    </row>
    <row r="47" spans="2:6" ht="15" customHeight="1" x14ac:dyDescent="0.3">
      <c r="B47" s="80" t="s">
        <v>321</v>
      </c>
      <c r="D47" s="209">
        <f t="shared" si="6"/>
        <v>1</v>
      </c>
      <c r="E47" s="45" t="s">
        <v>310</v>
      </c>
      <c r="F47" s="6"/>
    </row>
    <row r="48" spans="2:6" ht="15" customHeight="1" x14ac:dyDescent="0.3">
      <c r="B48" s="80" t="s">
        <v>322</v>
      </c>
      <c r="D48" s="209">
        <f t="shared" si="6"/>
        <v>1</v>
      </c>
      <c r="E48" s="45" t="s">
        <v>310</v>
      </c>
      <c r="F48" s="6"/>
    </row>
    <row r="49" spans="2:6" ht="14" x14ac:dyDescent="0.3">
      <c r="B49" s="80" t="s">
        <v>323</v>
      </c>
      <c r="D49" s="209">
        <f t="shared" si="6"/>
        <v>1</v>
      </c>
      <c r="E49" s="45" t="s">
        <v>310</v>
      </c>
      <c r="F49" s="6"/>
    </row>
    <row r="50" spans="2:6" ht="14" x14ac:dyDescent="0.3">
      <c r="B50" s="201" t="s">
        <v>324</v>
      </c>
      <c r="D50" s="54"/>
      <c r="E50" s="26"/>
    </row>
    <row r="51" spans="2:6" ht="14" x14ac:dyDescent="0.3">
      <c r="B51" s="80" t="s">
        <v>325</v>
      </c>
      <c r="D51" s="44"/>
      <c r="E51" s="75" t="str">
        <f>E67</f>
        <v>Medium</v>
      </c>
      <c r="F51" s="6"/>
    </row>
    <row r="52" spans="2:6" ht="14" x14ac:dyDescent="0.3">
      <c r="B52" s="80" t="s">
        <v>326</v>
      </c>
      <c r="D52" s="44"/>
      <c r="E52" s="75" t="str">
        <f>E77</f>
        <v>Very Low</v>
      </c>
      <c r="F52" s="6"/>
    </row>
    <row r="53" spans="2:6" ht="14" x14ac:dyDescent="0.3">
      <c r="B53" s="80" t="s">
        <v>327</v>
      </c>
      <c r="D53" s="44"/>
      <c r="E53" s="75" t="str">
        <f>E85</f>
        <v>Medium</v>
      </c>
      <c r="F53" s="6"/>
    </row>
    <row r="54" spans="2:6" ht="14" x14ac:dyDescent="0.3">
      <c r="B54" s="80" t="s">
        <v>328</v>
      </c>
      <c r="D54" s="44"/>
      <c r="E54" s="75" t="str">
        <f>E95</f>
        <v>Very High</v>
      </c>
      <c r="F54" s="6"/>
    </row>
    <row r="55" spans="2:6" ht="14" x14ac:dyDescent="0.3">
      <c r="B55" s="80" t="s">
        <v>329</v>
      </c>
      <c r="D55" s="44"/>
      <c r="E55" s="75" t="str">
        <f>E102</f>
        <v>Very High</v>
      </c>
      <c r="F55" s="6"/>
    </row>
    <row r="56" spans="2:6" ht="14" x14ac:dyDescent="0.3">
      <c r="B56" s="206" t="s">
        <v>330</v>
      </c>
      <c r="D56" s="202">
        <f>E56*4</f>
        <v>1.2703514739229025</v>
      </c>
      <c r="E56" s="62">
        <f>AVERAGE(AVERAGE(D33:D37)/4,AVERAGE(D39:D43)/4,AVERAGE(D45:D49)/4,E114)</f>
        <v>0.31758786848072562</v>
      </c>
      <c r="F56" s="6"/>
    </row>
    <row r="57" spans="2:6" ht="14" x14ac:dyDescent="0.3">
      <c r="E57" s="6"/>
    </row>
    <row r="58" spans="2:6" ht="14" x14ac:dyDescent="0.3">
      <c r="B58" s="208" t="s">
        <v>331</v>
      </c>
      <c r="C58" s="80"/>
      <c r="D58" s="54"/>
      <c r="E58" s="26"/>
    </row>
    <row r="59" spans="2:6" ht="14" x14ac:dyDescent="0.3">
      <c r="B59" s="3" t="s">
        <v>332</v>
      </c>
      <c r="D59" s="209">
        <f>IF(E59="Strongly disagree",0,IF(E59="disagree",1,IF(E59="unclear",2,IF(E59="agree",3,4))))</f>
        <v>2</v>
      </c>
      <c r="E59" s="45" t="s">
        <v>308</v>
      </c>
      <c r="F59" s="6"/>
    </row>
    <row r="60" spans="2:6" ht="14" x14ac:dyDescent="0.3">
      <c r="B60" s="3" t="s">
        <v>333</v>
      </c>
      <c r="D60" s="209">
        <f>IF(E60="Strongly disagree",0,IF(E60="disagree",1,IF(E60="unclear",2,IF(E60="agree",3,4))))</f>
        <v>1</v>
      </c>
      <c r="E60" s="210" t="str">
        <f>IF(D56&gt;=3.5,"Strongly agree",IF(D56&gt;=2.5,"agree",IF(D56&gt;=1.5,"unclear",IF(D56&gt;=0.5,"disagree","Strongly disagree"))))</f>
        <v>disagree</v>
      </c>
      <c r="F60" s="6"/>
    </row>
    <row r="61" spans="2:6" ht="14" x14ac:dyDescent="0.3">
      <c r="B61" s="3" t="s">
        <v>334</v>
      </c>
      <c r="C61" s="80"/>
      <c r="D61" s="209">
        <f>IF(E61="Strongly disagree",0,IF(E61="disagree",1,IF(E61="unclear",2,IF(E61="agree",3,4))))</f>
        <v>1</v>
      </c>
      <c r="E61" s="211" t="str">
        <f>E33</f>
        <v>disagree</v>
      </c>
      <c r="F61" s="6"/>
    </row>
    <row r="62" spans="2:6" ht="14" x14ac:dyDescent="0.3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336</v>
      </c>
      <c r="D63" s="209"/>
      <c r="E63" s="207">
        <f>SUM(D59:D62)/12</f>
        <v>0.33333333333333331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3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3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3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3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3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3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3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3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3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3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3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3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3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3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3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3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3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3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3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3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3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3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3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3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3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3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3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3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3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3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3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2022-12-09T06:58:21Z</dcterms:modified>
  <cp:category/>
  <cp:contentStatus/>
</cp:coreProperties>
</file>