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mentProject\financial_models\Opportunities\"/>
    </mc:Choice>
  </mc:AlternateContent>
  <xr:revisionPtr revIDLastSave="0" documentId="8_{B3EC213A-4792-4719-9E69-65EF7B733745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M6" i="2"/>
  <c r="L6" i="2"/>
  <c r="K6" i="2"/>
  <c r="J6" i="2"/>
  <c r="I6" i="2"/>
  <c r="H6" i="2"/>
  <c r="G6" i="2"/>
  <c r="F6" i="2"/>
  <c r="E6" i="2"/>
  <c r="D6" i="2"/>
  <c r="C6" i="2"/>
  <c r="C22" i="2"/>
  <c r="C24" i="2"/>
  <c r="F26" i="2"/>
  <c r="G26" i="2"/>
  <c r="H26" i="2"/>
  <c r="I26" i="2"/>
  <c r="J26" i="2"/>
  <c r="K26" i="2"/>
  <c r="L26" i="2"/>
  <c r="M26" i="2"/>
  <c r="C26" i="2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F64" i="4"/>
  <c r="E4" i="4"/>
  <c r="J12" i="1"/>
  <c r="E5" i="1"/>
  <c r="D52" i="3"/>
  <c r="E4" i="2"/>
  <c r="D8" i="4"/>
  <c r="E8" i="4"/>
  <c r="E9" i="4"/>
  <c r="E11" i="4"/>
  <c r="E13" i="4"/>
  <c r="E10" i="3"/>
  <c r="G33" i="2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G34" i="2"/>
  <c r="H34" i="2"/>
  <c r="I34" i="2"/>
  <c r="J34" i="2"/>
  <c r="K34" i="2"/>
  <c r="L34" i="2"/>
  <c r="M34" i="2"/>
  <c r="D13" i="4"/>
  <c r="G30" i="2"/>
  <c r="G11" i="2"/>
  <c r="E30" i="2"/>
  <c r="F11" i="2"/>
  <c r="D30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B66" i="4" l="1"/>
  <c r="C33" i="2"/>
  <c r="C31" i="2"/>
  <c r="D33" i="2"/>
  <c r="D31" i="2"/>
  <c r="E33" i="2"/>
  <c r="E31" i="2"/>
  <c r="F33" i="2"/>
  <c r="F31" i="2"/>
  <c r="C13" i="2"/>
  <c r="C12" i="2" s="1"/>
  <c r="C16" i="2"/>
  <c r="C34" i="2" s="1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F51" i="3" s="1"/>
  <c r="E11" i="3"/>
  <c r="D51" i="3" s="1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D66" i="5" l="1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D20" i="4" s="1"/>
  <c r="F28" i="4"/>
  <c r="K35" i="2"/>
  <c r="L46" i="2"/>
  <c r="F15" i="2"/>
  <c r="G15" i="2"/>
  <c r="C71" i="2"/>
  <c r="J15" i="2"/>
  <c r="C28" i="1"/>
  <c r="I28" i="1" s="1"/>
  <c r="H39" i="3"/>
  <c r="D3" i="3" s="1"/>
  <c r="C27" i="2" s="1"/>
  <c r="D19" i="1" s="1"/>
  <c r="C21" i="2"/>
  <c r="I32" i="1"/>
  <c r="I33" i="1" s="1"/>
  <c r="I34" i="1" s="1"/>
  <c r="E19" i="3"/>
  <c r="D19" i="3" s="1"/>
  <c r="C20" i="2"/>
  <c r="C32" i="4"/>
  <c r="E35" i="3"/>
  <c r="D35" i="3" s="1"/>
  <c r="G42" i="2"/>
  <c r="G13" i="2"/>
  <c r="G12" i="2" s="1"/>
  <c r="F13" i="2"/>
  <c r="F47" i="2"/>
  <c r="C75" i="2"/>
  <c r="J42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J41" i="2"/>
  <c r="K44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K48" i="2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J9" i="1" l="1"/>
  <c r="C17" i="1"/>
  <c r="E12" i="5"/>
  <c r="D12" i="5" s="1"/>
  <c r="D18" i="5"/>
  <c r="E20" i="3"/>
  <c r="K46" i="2"/>
  <c r="I46" i="2"/>
  <c r="H15" i="2"/>
  <c r="I15" i="2"/>
  <c r="E46" i="2"/>
  <c r="D15" i="2"/>
  <c r="E15" i="2"/>
  <c r="D46" i="2"/>
  <c r="C15" i="2"/>
  <c r="C15" i="4" s="1"/>
  <c r="C4" i="4"/>
  <c r="D14" i="4"/>
  <c r="C35" i="2"/>
  <c r="C76" i="2" s="1"/>
  <c r="E41" i="2"/>
  <c r="I10" i="1"/>
  <c r="D17" i="1" s="1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D22" i="4" s="1"/>
  <c r="D64" i="4" s="1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D20" i="3"/>
  <c r="H20" i="3"/>
  <c r="H42" i="2"/>
  <c r="G24" i="4" l="1"/>
  <c r="E38" i="3"/>
  <c r="C46" i="2"/>
  <c r="C48" i="2"/>
  <c r="C44" i="2"/>
  <c r="C45" i="2"/>
  <c r="I19" i="3"/>
  <c r="E43" i="3"/>
  <c r="H37" i="3"/>
  <c r="E24" i="5" s="1"/>
  <c r="D13" i="5"/>
  <c r="E16" i="4"/>
  <c r="D25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F35" i="4" s="1"/>
  <c r="C66" i="4" s="1"/>
  <c r="E18" i="4"/>
  <c r="E21" i="4" s="1"/>
  <c r="D5" i="3"/>
  <c r="D6" i="3" s="1"/>
  <c r="D15" i="1" s="1"/>
  <c r="D43" i="3"/>
  <c r="I37" i="3"/>
  <c r="D24" i="5"/>
  <c r="E79" i="5" s="1"/>
  <c r="D60" i="2"/>
  <c r="E60" i="2" s="1"/>
  <c r="F60" i="2"/>
  <c r="B61" i="2"/>
  <c r="D68" i="4" l="1"/>
  <c r="D66" i="4"/>
  <c r="E17" i="1"/>
  <c r="E19" i="1"/>
  <c r="E22" i="4"/>
  <c r="E5" i="3"/>
  <c r="D79" i="5"/>
  <c r="E11" i="5" s="1"/>
  <c r="D11" i="5" s="1"/>
  <c r="E14" i="5" s="1"/>
  <c r="D61" i="2"/>
  <c r="E61" i="2" s="1"/>
  <c r="F61" i="2"/>
  <c r="B62" i="2"/>
  <c r="F19" i="1" l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C20" i="4" s="1"/>
  <c r="D76" i="2"/>
  <c r="D72" i="2" l="1"/>
  <c r="C16" i="4"/>
  <c r="D15" i="4" s="1"/>
  <c r="J10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E64" i="4" s="1"/>
  <c r="E65" i="4" s="1"/>
  <c r="B18" i="1"/>
  <c r="C42" i="4"/>
  <c r="C44" i="4" s="1"/>
  <c r="D57" i="4"/>
  <c r="E56" i="4" s="1"/>
  <c r="J18" i="1" l="1"/>
  <c r="B67" i="4"/>
  <c r="D67" i="4" s="1"/>
  <c r="E18" i="1"/>
  <c r="F18" i="1" s="1"/>
  <c r="H18" i="1" s="1"/>
  <c r="I18" i="1" s="1"/>
  <c r="G60" i="4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17" i="1" l="1"/>
  <c r="I17" i="1" s="1"/>
  <c r="C52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<sst xmlns="http://schemas.openxmlformats.org/spreadsheetml/2006/main" count="424" uniqueCount="351">
  <si>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</si>
  <si>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</si>
  <si>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</si>
  <si>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</si>
  <si>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</si>
  <si>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</si>
  <si>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</si>
  <si>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</si>
  <si>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</si>
  <si>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</si>
  <si>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</si>
  <si>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</si>
  <si>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</si>
  <si>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</si>
  <si>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</si>
  <si>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</si>
  <si>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</si>
  <si>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</si>
  <si>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</si>
  <si>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</si>
  <si>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</si>
  <si>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</si>
  <si>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</si>
  <si>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</si>
  <si>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</si>
  <si>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</si>
  <si>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</si>
  <si>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</si>
  <si>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</si>
  <si>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</si>
  <si>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</si>
  <si>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</si>
  <si>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</si>
  <si>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</si>
  <si>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</si>
  <si>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</si>
  <si>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</si>
  <si>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</si>
  <si>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</si>
  <si>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</si>
  <si>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</si>
  <si>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</si>
  <si>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</si>
  <si>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</si>
  <si>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</si>
  <si>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</si>
  <si>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</si>
  <si>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</si>
  <si>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</si>
  <si>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</si>
  <si>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</si>
  <si>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</si>
  <si>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</si>
  <si>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</si>
  <si>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</si>
  <si>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</si>
  <si>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</si>
  <si>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</si>
  <si>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</si>
  <si>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</si>
  <si>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</si>
  <si>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</si>
  <si>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</si>
  <si>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</si>
  <si>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</si>
  <si>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</si>
  <si>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</si>
  <si>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</si>
  <si>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</si>
  <si>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</si>
  <si>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</si>
  <si>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</si>
  <si>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</si>
  <si>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</si>
  <si>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</si>
  <si>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</si>
  <si>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</si>
  <si>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</si>
  <si>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</si>
  <si>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</si>
  <si>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</si>
  <si>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</si>
  <si>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</si>
  <si>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</si>
  <si>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</si>
  <si>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</si>
  <si>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</si>
  <si>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</si>
  <si>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</si>
  <si>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</si>
  <si>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</si>
  <si>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</si>
  <si>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</si>
  <si>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</si>
  <si>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</si>
  <si>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</si>
  <si>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</si>
  <si>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</si>
  <si>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</si>
  <si>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</si>
  <si>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</si>
  <si>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</si>
  <si>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</si>
  <si>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</si>
  <si>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</si>
  <si>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</si>
  <si>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</si>
  <si>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</si>
  <si>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</si>
  <si>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</si>
  <si>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</si>
  <si>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</si>
  <si>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</si>
  <si>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</si>
  <si>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</si>
  <si>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</si>
  <si>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</si>
  <si>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</si>
  <si>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</si>
  <si>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</si>
  <si>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</si>
  <si>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</si>
  <si>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</si>
  <si>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</si>
  <si>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</si>
  <si>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</si>
  <si>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</si>
  <si>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</si>
  <si>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</si>
  <si>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</si>
  <si>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</si>
  <si>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</si>
  <si>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</si>
  <si>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</si>
  <si>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</si>
  <si>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</si>
  <si>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</si>
  <si>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</si>
  <si>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</si>
  <si>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</si>
  <si>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</si>
  <si>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</si>
  <si>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</si>
  <si>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</si>
  <si>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</si>
  <si>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</si>
  <si>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</si>
  <si>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</si>
  <si>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</si>
  <si>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</si>
  <si>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</si>
  <si>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</si>
  <si>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</si>
  <si>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</si>
  <si>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</si>
  <si>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</si>
  <si>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</si>
  <si>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</si>
  <si>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</si>
  <si>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</si>
  <si>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</si>
  <si>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</si>
  <si>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</si>
  <si>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</si>
  <si>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</si>
  <si>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</si>
  <si>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</si>
  <si>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</si>
  <si>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</si>
  <si>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</si>
  <si>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</si>
  <si>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</si>
  <si>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</si>
  <si>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</si>
  <si>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</si>
  <si>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</si>
  <si>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</si>
  <si>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</si>
  <si>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</si>
  <si>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</si>
  <si>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</si>
  <si>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</si>
  <si>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</si>
  <si>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</si>
  <si>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</si>
  <si>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</si>
  <si>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</si>
  <si>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</si>
  <si>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</si>
  <si>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</si>
  <si>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</si>
  <si>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</si>
  <si>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</si>
  <si>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</si>
  <si>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</si>
  <si>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</si>
  <si>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</si>
  <si>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</si>
  <si>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</si>
  <si>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</si>
  <si>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</si>
  <si>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</si>
  <si>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</si>
  <si>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</si>
  <si>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</si>
  <si>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</si>
  <si>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</si>
  <si>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</si>
  <si>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</si>
  <si>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</si>
  <si>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</si>
  <si>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</si>
  <si>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</si>
  <si>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</si>
  <si>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</si>
  <si>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</si>
  <si>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</si>
  <si>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</si>
  <si>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</si>
  <si>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</si>
  <si>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</si>
  <si>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</si>
  <si>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</si>
  <si>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</si>
  <si>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</si>
  <si>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</si>
  <si>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</si>
  <si>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</si>
  <si>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</si>
  <si>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</si>
  <si>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</si>
  <si>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</si>
  <si>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</si>
  <si>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</si>
  <si>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</si>
  <si>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</si>
  <si>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</si>
  <si>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</si>
  <si>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</si>
  <si>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</si>
  <si>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</si>
  <si>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</si>
  <si>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</si>
  <si>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</si>
  <si>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</si>
  <si>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</si>
  <si>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</si>
  <si>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</si>
  <si>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</si>
  <si>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</si>
  <si>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</si>
  <si>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</si>
  <si>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</si>
  <si>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</si>
  <si>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</si>
  <si>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</si>
  <si>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</si>
  <si>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</si>
  <si>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</si>
  <si>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</si>
  <si>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</si>
  <si>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</si>
  <si>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</si>
  <si>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</si>
  <si>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</si>
  <si>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</si>
  <si>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</si>
  <si>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</si>
  <si>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</si>
  <si>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</si>
  <si>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</si>
  <si>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</si>
  <si>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</si>
  <si>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</si>
  <si>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</si>
  <si>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</si>
  <si>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</si>
  <si>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</si>
  <si>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</si>
  <si>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</si>
  <si>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</si>
  <si>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</si>
  <si>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</si>
  <si>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</si>
  <si>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</si>
  <si>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</si>
  <si>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</si>
  <si>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</si>
  <si>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</si>
  <si>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</si>
  <si>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</si>
  <si>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</si>
  <si>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</si>
  <si>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</si>
  <si>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</si>
  <si>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</si>
  <si>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</si>
  <si>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</si>
  <si>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</si>
  <si>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</si>
  <si>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</si>
  <si>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</si>
  <si>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</si>
  <si>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</si>
  <si>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</si>
  <si>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</si>
  <si>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</si>
  <si>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</si>
  <si>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</si>
  <si>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</si>
  <si>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</si>
  <si>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</si>
  <si>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</si>
  <si>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</si>
  <si>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</si>
  <si>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</si>
  <si>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</si>
  <si>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</si>
  <si>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</si>
  <si>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</si>
  <si>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</si>
  <si>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</si>
  <si>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</si>
  <si>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</si>
  <si>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</si>
  <si>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</si>
  <si>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</si>
  <si>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</si>
  <si>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</si>
  <si>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</si>
  <si>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</si>
  <si>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</si>
  <si>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</si>
  <si>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</si>
  <si>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</si>
  <si>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</si>
  <si>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</si>
  <si>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</si>
  <si>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</si>
  <si>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</si>
  <si>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</si>
  <si>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</si>
  <si>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</si>
  <si>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</si>
  <si>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</si>
  <si>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</si>
  <si>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</si>
  <si>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</si>
  <si>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0806.HK</t>
  </si>
  <si>
    <t>VALUE PARTNERS</t>
  </si>
  <si>
    <t>HKG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</si>
</sst>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  <numFmt numFmtId="180" formatCode="&quot;FCF Value = &quot;0.00"/>
    <numFmt numFmtId="181" formatCode="&quot;Ideal Price = &quot;0.00"/>
    <numFmt numFmtId="182" formatCode="&quot;Current Price = &quot;0.00"/>
    <numFmt numFmtId="183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0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80" fontId="16" fillId="0" borderId="9" xfId="0" applyNumberFormat="1" applyFont="1" applyBorder="1" applyAlignment="1">
      <alignment horizontal="center"/>
    </xf>
    <xf numFmtId="181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81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3" fontId="2" fillId="13" borderId="17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179" fontId="11" fillId="13" borderId="60" xfId="0" applyNumberFormat="1" applyFont="1" applyFill="1" applyBorder="1" applyAlignment="1">
      <alignment horizontal="center"/>
    </xf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D10" sqref="D1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6384" width="12.453125" style="3"/>
  </cols>
  <sheetData>
    <row r="1" spans="1:13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3">
      <c r="A2" s="10"/>
      <c r="B2" s="11" t="s">
        <v>0</v>
      </c>
      <c r="C2" s="321" t="str">
        <f>C3&amp;" : "&amp;C4</f>
        <v>0806.HK : VALUE PARTNERS</v>
      </c>
      <c r="D2" s="322"/>
      <c r="E2" s="12"/>
      <c r="F2" s="12"/>
      <c r="G2" s="12"/>
      <c r="H2" s="12"/>
      <c r="I2" s="12"/>
      <c r="J2" s="12"/>
      <c r="K2" s="6"/>
    </row>
    <row r="3" spans="1:13" ht="15.75" customHeight="1" x14ac:dyDescent="0.3">
      <c r="B3" s="16" t="s">
        <v>1</v>
      </c>
      <c r="C3" s="323" t="s">
        <v>348</v>
      </c>
      <c r="D3" s="324"/>
      <c r="E3" s="15"/>
      <c r="G3" s="7" t="s">
        <v>2</v>
      </c>
      <c r="I3" s="336" t="s">
        <v>350</v>
      </c>
      <c r="J3" s="337"/>
    </row>
    <row r="4" spans="1:13" ht="15.75" customHeight="1" x14ac:dyDescent="0.3">
      <c r="B4" s="5" t="s">
        <v>3</v>
      </c>
      <c r="C4" s="325" t="s">
        <v>349</v>
      </c>
      <c r="D4" s="326"/>
      <c r="E4" s="6"/>
      <c r="G4" s="5" t="s">
        <v>4</v>
      </c>
      <c r="I4" s="38">
        <v>3.02</v>
      </c>
      <c r="J4" s="39" t="s">
        <v>5</v>
      </c>
    </row>
    <row r="5" spans="1:13" ht="15.75" customHeight="1" x14ac:dyDescent="0.3">
      <c r="B5" s="5" t="s">
        <v>6</v>
      </c>
      <c r="C5" s="327">
        <v>44929</v>
      </c>
      <c r="D5" s="326"/>
      <c r="E5" s="243" t="str">
        <f ca="1">IF(C5+30&gt;=TODAY(),"Patience Premium","")</f>
        <v>Patience Premium</v>
      </c>
      <c r="G5" s="5" t="s">
        <v>7</v>
      </c>
      <c r="I5" s="338">
        <v>1826710016</v>
      </c>
      <c r="J5" s="339"/>
    </row>
    <row r="6" spans="1:13" ht="15.75" customHeight="1" x14ac:dyDescent="0.3">
      <c r="B6" s="12" t="s">
        <v>8</v>
      </c>
      <c r="C6" s="330">
        <v>45001</v>
      </c>
      <c r="D6" s="331"/>
      <c r="E6" s="243" t="b">
        <v>1</v>
      </c>
      <c r="G6" s="274" t="s">
        <v>9</v>
      </c>
      <c r="H6" s="273"/>
      <c r="I6" s="340">
        <f>I4*I5/1000000</f>
        <v>5516.6642483199994</v>
      </c>
      <c r="J6" s="341"/>
    </row>
    <row r="7" spans="1:13" ht="15.75" customHeight="1" x14ac:dyDescent="0.3">
      <c r="B7" s="6"/>
      <c r="C7" s="6"/>
      <c r="D7" s="6"/>
      <c r="F7" s="6"/>
    </row>
    <row r="8" spans="1:13" ht="15.75" customHeight="1" x14ac:dyDescent="0.3">
      <c r="B8" s="22" t="s">
        <v>10</v>
      </c>
      <c r="C8" s="193"/>
      <c r="D8" s="12"/>
      <c r="E8" s="6"/>
      <c r="G8" s="22" t="s">
        <v>11</v>
      </c>
      <c r="H8" s="272"/>
      <c r="I8" s="6"/>
      <c r="J8" s="6"/>
    </row>
    <row r="9" spans="1:13" ht="15.75" customHeight="1" x14ac:dyDescent="0.3">
      <c r="B9" s="19" t="s">
        <v>12</v>
      </c>
      <c r="C9" s="250" t="s">
        <v>13</v>
      </c>
      <c r="D9" s="248">
        <v>3.8399999999999997E-2</v>
      </c>
      <c r="E9" s="5"/>
      <c r="G9" s="5" t="s">
        <v>14</v>
      </c>
      <c r="I9" s="242">
        <f>IF(Data!F3&lt;=0,"NNI",I4/((Data!F3*I12)/(I5/Data!C4)))</f>
        <v>12.050038439974399</v>
      </c>
      <c r="J9" s="62">
        <f>IF(I9="NNI","NNI",1/I9)</f>
        <v>8.2987287134506815E-2</v>
      </c>
    </row>
    <row r="10" spans="1:13" ht="15.75" customHeight="1" x14ac:dyDescent="0.3">
      <c r="B10" s="19" t="s">
        <v>15</v>
      </c>
      <c r="C10" s="247" t="s">
        <v>13</v>
      </c>
      <c r="D10" s="249">
        <v>2.2599999999999999E-2</v>
      </c>
      <c r="E10" s="5"/>
      <c r="G10" s="5" t="s">
        <v>16</v>
      </c>
      <c r="I10" s="287">
        <f>I4/(Data!C27*I12*Data!C4/Common_Shares)</f>
        <v>1.3977066406684673</v>
      </c>
      <c r="J10" s="264">
        <f>IF('Asset Model'!D53/'FCF Model'!C16&lt;0,"Negative EV",'Asset Model'!D53/'FCF Model'!C16)</f>
        <v>14.376711259502645</v>
      </c>
    </row>
    <row r="11" spans="1:13" ht="15.75" customHeight="1" x14ac:dyDescent="0.3">
      <c r="B11" s="19" t="s">
        <v>17</v>
      </c>
      <c r="C11" s="342">
        <v>4.4999999999999998E-2</v>
      </c>
      <c r="D11" s="343"/>
      <c r="E11" s="13"/>
      <c r="G11" s="5" t="s">
        <v>18</v>
      </c>
      <c r="H11" s="6"/>
      <c r="I11" s="344" t="s">
        <v>5</v>
      </c>
      <c r="J11" s="345"/>
    </row>
    <row r="12" spans="1:13" ht="15.75" customHeight="1" x14ac:dyDescent="0.3">
      <c r="B12" s="133" t="s">
        <v>19</v>
      </c>
      <c r="C12" s="289" t="s">
        <v>20</v>
      </c>
      <c r="D12" s="291">
        <v>9.35E-2</v>
      </c>
      <c r="E12" s="5"/>
      <c r="G12" s="274" t="s">
        <v>21</v>
      </c>
      <c r="H12" s="273"/>
      <c r="I12" s="275">
        <v>1</v>
      </c>
      <c r="J12" s="276" t="str">
        <f>IF(I11=Dashboard!J4,J4,I11&amp;"/"&amp;Dashboard!J4)</f>
        <v>HKD</v>
      </c>
    </row>
    <row r="13" spans="1:13" ht="15.75" customHeight="1" x14ac:dyDescent="0.3">
      <c r="B13" s="273" t="s">
        <v>22</v>
      </c>
      <c r="C13" s="289" t="s">
        <v>20</v>
      </c>
      <c r="D13" s="290" t="s">
        <v>23</v>
      </c>
      <c r="E13" s="13"/>
      <c r="G13" s="288" t="s">
        <v>24</v>
      </c>
      <c r="H13" s="288"/>
      <c r="I13" s="347">
        <v>0.34528085710129486</v>
      </c>
      <c r="J13" s="347"/>
    </row>
    <row r="14" spans="1:13" ht="15.75" customHeight="1" x14ac:dyDescent="0.3"/>
    <row r="15" spans="1:13" ht="15.65" customHeight="1" x14ac:dyDescent="0.3">
      <c r="A15" s="10"/>
      <c r="B15" s="21" t="s">
        <v>25</v>
      </c>
      <c r="C15" s="277" t="s">
        <v>26</v>
      </c>
      <c r="D15" s="278">
        <f>'Asset Model'!D6</f>
        <v>1.2392113142519707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 x14ac:dyDescent="0.3">
      <c r="A16" s="6"/>
      <c r="B16" s="193"/>
      <c r="C16" s="168" t="s">
        <v>27</v>
      </c>
      <c r="D16" s="168" t="s">
        <v>28</v>
      </c>
      <c r="E16" s="255" t="s">
        <v>29</v>
      </c>
      <c r="F16" s="99" t="s">
        <v>30</v>
      </c>
      <c r="G16" s="168" t="s">
        <v>31</v>
      </c>
      <c r="H16" s="168" t="s">
        <v>32</v>
      </c>
      <c r="I16" s="183" t="s">
        <v>33</v>
      </c>
      <c r="J16" s="183" t="s">
        <v>34</v>
      </c>
    </row>
    <row r="17" spans="1:11" ht="15.75" customHeight="1" x14ac:dyDescent="0.3">
      <c r="B17" s="271">
        <f>I4</f>
        <v>3.02</v>
      </c>
      <c r="C17" s="262">
        <f>I9</f>
        <v>12.050038439974399</v>
      </c>
      <c r="D17" s="262">
        <f>I10</f>
        <v>1.3977066406684673</v>
      </c>
      <c r="E17" s="259">
        <f>IF(D$15&lt;=0, 1+(-B17/D$15), B17/D$15-1)</f>
        <v>1.4370339144482172</v>
      </c>
      <c r="F17" s="259">
        <f ca="1">AVERAGE((1-'Qualitative Analysis'!E7),(1-'Qualitative Analysis'!E14),E17)+IF(C5+30&gt;=TODAY(),20%,0)</f>
        <v>0.65123352703829451</v>
      </c>
      <c r="G17" s="259">
        <f>'FCF Model'!G60</f>
        <v>0.1754099224177379</v>
      </c>
      <c r="H17" s="259">
        <f ca="1">$C$11*(1+F17)</f>
        <v>7.4305508716723256E-2</v>
      </c>
      <c r="I17" s="267">
        <f ca="1">G17-H17</f>
        <v>0.10110441370101464</v>
      </c>
      <c r="J17" s="270">
        <f>$I$13/B17</f>
        <v>0.11433140963619035</v>
      </c>
    </row>
    <row r="18" spans="1:11" ht="15.75" customHeight="1" x14ac:dyDescent="0.3">
      <c r="B18" s="265">
        <f>'FCF Model'!C60</f>
        <v>3.4191629961306749</v>
      </c>
      <c r="C18" s="263">
        <f>'FCF Model'!E60</f>
        <v>13.642730309904858</v>
      </c>
      <c r="D18" s="263">
        <f>'FCF Model'!F60</f>
        <v>1.582445968615807</v>
      </c>
      <c r="E18" s="258">
        <f>IF(D$15&lt;=0, 1+(-B18/D$15), B18/D$15-1)</f>
        <v>1.7591444306612032</v>
      </c>
      <c r="F18" s="257">
        <f ca="1">AVERAGE((1-'Qualitative Analysis'!E7),(1-'Qualitative Analysis'!E14),E18)+IF(C5+30&gt;=TODAY(),20%,0)</f>
        <v>0.75860369910928993</v>
      </c>
      <c r="G18" s="258">
        <f>'FCF Model'!E67</f>
        <v>9.3500000000780625E-2</v>
      </c>
      <c r="H18" s="258">
        <f ca="1">$C$11*(1+F18)</f>
        <v>7.9137166459918043E-2</v>
      </c>
      <c r="I18" s="268">
        <f ca="1">G18-H18</f>
        <v>1.4362833540862582E-2</v>
      </c>
      <c r="J18" s="257">
        <f>$I$13/B18</f>
        <v>0.10098402956865025</v>
      </c>
    </row>
    <row r="19" spans="1:11" ht="15.65" customHeight="1" x14ac:dyDescent="0.3">
      <c r="B19" s="266">
        <v>2</v>
      </c>
      <c r="C19" s="264">
        <f>IF(Data!F3&lt;=0,"NNI",B19/((Data!F3*I12)/(I5/Data!C4)))</f>
        <v>7.9801579072678139</v>
      </c>
      <c r="D19" s="264">
        <f>B19/(Data!C27*I12*Data!C4/Common_Shares)</f>
        <v>0.9256335368665346</v>
      </c>
      <c r="E19" s="261">
        <f>IF(D$15&lt;=0, 1+(-B19/D$15), B19/D$15-1)</f>
        <v>0.61392974466769346</v>
      </c>
      <c r="F19" s="260">
        <f ca="1">AVERAGE((1-'Qualitative Analysis'!E7),(1-'Qualitative Analysis'!E14),E19)+IF(C5+30&gt;=TODAY(),20%,0)</f>
        <v>0.37686547044478669</v>
      </c>
      <c r="G19" s="261">
        <f>'FCF Model'!E68</f>
        <v>0.51249152787196617</v>
      </c>
      <c r="H19" s="261">
        <f ca="1">$C$11*(1+F19)</f>
        <v>6.1958946170015398E-2</v>
      </c>
      <c r="I19" s="269">
        <f ca="1">G19-H19</f>
        <v>0.45053258170195076</v>
      </c>
      <c r="J19" s="260">
        <f>$I$13/B19</f>
        <v>0.17264042855064743</v>
      </c>
    </row>
    <row r="20" spans="1:11" ht="15.75" customHeight="1" x14ac:dyDescent="0.3">
      <c r="K20" s="6"/>
    </row>
    <row r="21" spans="1:11" ht="15.75" customHeight="1" x14ac:dyDescent="0.3">
      <c r="A21" s="4"/>
      <c r="B21" s="21" t="s">
        <v>35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3">
      <c r="A22" s="6"/>
      <c r="B22" s="25" t="s">
        <v>36</v>
      </c>
      <c r="C22" s="332"/>
      <c r="D22" s="333"/>
      <c r="E22" s="333"/>
      <c r="F22" s="333"/>
      <c r="G22" s="333"/>
      <c r="H22" s="333"/>
      <c r="I22" s="333"/>
      <c r="J22" s="334"/>
      <c r="K22" s="6"/>
    </row>
    <row r="23" spans="1:11" ht="52.5" customHeight="1" x14ac:dyDescent="0.3">
      <c r="A23" s="6"/>
      <c r="B23" s="25" t="s">
        <v>37</v>
      </c>
      <c r="C23" s="346"/>
      <c r="D23" s="300"/>
      <c r="E23" s="300"/>
      <c r="F23" s="300"/>
      <c r="G23" s="346"/>
      <c r="H23" s="346"/>
      <c r="I23" s="300"/>
      <c r="J23" s="300"/>
      <c r="K23" s="6"/>
    </row>
    <row r="24" spans="1:11" ht="52.5" customHeight="1" x14ac:dyDescent="0.3">
      <c r="A24" s="6"/>
      <c r="B24" s="26" t="s">
        <v>38</v>
      </c>
      <c r="C24" s="335"/>
      <c r="D24" s="331"/>
      <c r="E24" s="331"/>
      <c r="F24" s="331"/>
      <c r="G24" s="335"/>
      <c r="H24" s="335"/>
      <c r="I24" s="331"/>
      <c r="J24" s="331"/>
      <c r="K24" s="6"/>
    </row>
    <row r="25" spans="1:11" ht="15.75" customHeight="1" x14ac:dyDescent="0.3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3">
      <c r="A26" s="4"/>
      <c r="B26" s="21" t="s">
        <v>39</v>
      </c>
      <c r="C26" s="23" t="s">
        <v>40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 x14ac:dyDescent="0.3">
      <c r="B27" s="24" t="s">
        <v>41</v>
      </c>
      <c r="C27" s="328"/>
      <c r="D27" s="329"/>
      <c r="E27" s="328"/>
      <c r="F27" s="329"/>
      <c r="G27" s="350"/>
      <c r="H27" s="351"/>
      <c r="I27" s="309" t="s">
        <v>42</v>
      </c>
      <c r="J27" s="309"/>
      <c r="K27" s="6"/>
    </row>
    <row r="28" spans="1:11" ht="15.75" customHeight="1" x14ac:dyDescent="0.3">
      <c r="B28" s="24" t="s">
        <v>43</v>
      </c>
      <c r="C28" s="308">
        <f>C32/D26</f>
        <v>0</v>
      </c>
      <c r="D28" s="302"/>
      <c r="E28" s="301">
        <f>E32/D26</f>
        <v>0</v>
      </c>
      <c r="F28" s="302"/>
      <c r="G28" s="352">
        <f>G32/D26</f>
        <v>0</v>
      </c>
      <c r="H28" s="353"/>
      <c r="I28" s="303">
        <f>C28+E28+G28</f>
        <v>0</v>
      </c>
      <c r="J28" s="303"/>
      <c r="K28" s="6"/>
    </row>
    <row r="29" spans="1:11" ht="15.75" customHeight="1" x14ac:dyDescent="0.3">
      <c r="B29" s="24" t="s">
        <v>44</v>
      </c>
      <c r="C29" s="299"/>
      <c r="D29" s="300"/>
      <c r="E29" s="299"/>
      <c r="F29" s="300"/>
      <c r="G29" s="338"/>
      <c r="H29" s="339"/>
      <c r="I29" s="320">
        <f>C29+E29+G29</f>
        <v>0</v>
      </c>
      <c r="J29" s="320"/>
      <c r="K29" s="6"/>
    </row>
    <row r="30" spans="1:11" ht="15.75" customHeight="1" x14ac:dyDescent="0.3">
      <c r="B30" s="24" t="s">
        <v>45</v>
      </c>
      <c r="C30" s="319"/>
      <c r="D30" s="300"/>
      <c r="E30" s="319"/>
      <c r="F30" s="300"/>
      <c r="G30" s="304"/>
      <c r="H30" s="305"/>
      <c r="I30" s="354"/>
      <c r="J30" s="354"/>
      <c r="K30" s="6"/>
    </row>
    <row r="31" spans="1:11" ht="15.75" customHeight="1" x14ac:dyDescent="0.3">
      <c r="B31" s="24" t="s">
        <v>46</v>
      </c>
      <c r="C31" s="297">
        <f>C30*$I$5/1000000</f>
        <v>0</v>
      </c>
      <c r="D31" s="298"/>
      <c r="E31" s="297">
        <f>E30*$I$5/1000000</f>
        <v>0</v>
      </c>
      <c r="F31" s="298"/>
      <c r="G31" s="306">
        <f>G30*$I$5/1000000</f>
        <v>0</v>
      </c>
      <c r="H31" s="307"/>
      <c r="I31" s="355"/>
      <c r="J31" s="355"/>
      <c r="K31" s="6"/>
    </row>
    <row r="32" spans="1:11" ht="15.75" customHeight="1" x14ac:dyDescent="0.3">
      <c r="B32" s="2" t="s">
        <v>47</v>
      </c>
      <c r="C32" s="314">
        <f>C29*C30</f>
        <v>0</v>
      </c>
      <c r="D32" s="315"/>
      <c r="E32" s="316">
        <f>E29*E30</f>
        <v>0</v>
      </c>
      <c r="F32" s="317"/>
      <c r="G32" s="348">
        <f>G29*G30</f>
        <v>0</v>
      </c>
      <c r="H32" s="349"/>
      <c r="I32" s="316">
        <f>C32+E32+G32</f>
        <v>0</v>
      </c>
      <c r="J32" s="316"/>
      <c r="K32" s="6"/>
    </row>
    <row r="33" spans="2:11" ht="15.75" customHeight="1" x14ac:dyDescent="0.3">
      <c r="B33" s="1" t="s">
        <v>48</v>
      </c>
      <c r="C33" s="310"/>
      <c r="D33" s="311"/>
      <c r="E33" s="318" t="str">
        <f>IF(C32=0,"-",(C32+E32)/(C29+E29))</f>
        <v>-</v>
      </c>
      <c r="F33" s="302"/>
      <c r="G33" s="235"/>
      <c r="H33" s="235"/>
      <c r="I33" s="318" t="str">
        <f>IF(I32=0,"",I32/I29)</f>
        <v/>
      </c>
      <c r="J33" s="318"/>
      <c r="K33" s="6"/>
    </row>
    <row r="34" spans="2:11" ht="15.75" customHeight="1" x14ac:dyDescent="0.3">
      <c r="B34" s="1" t="s">
        <v>49</v>
      </c>
      <c r="C34" s="312"/>
      <c r="D34" s="313"/>
      <c r="E34" s="297" t="str">
        <f>IF(E33="-","-",E33*$I$5/1000000)</f>
        <v>-</v>
      </c>
      <c r="F34" s="298"/>
      <c r="G34" s="236"/>
      <c r="H34" s="236"/>
      <c r="I34" s="297" t="str">
        <f>IF(I33="","",I33*$I$5/1000000)</f>
        <v/>
      </c>
      <c r="J34" s="297"/>
      <c r="K34" s="6"/>
    </row>
    <row r="35" spans="2:11" ht="15.75" customHeight="1" x14ac:dyDescent="0.3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3">
      <c r="I36" s="6"/>
      <c r="J36" s="6"/>
    </row>
    <row r="37" spans="2:11" ht="15.75" customHeight="1" x14ac:dyDescent="0.3"/>
    <row r="38" spans="2:11" ht="15.75" customHeight="1" x14ac:dyDescent="0.3"/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mergeCells count="46">
    <mergeCell ref="G24:J24"/>
    <mergeCell ref="I13:J13"/>
    <mergeCell ref="G32:H32"/>
    <mergeCell ref="G27:H27"/>
    <mergeCell ref="G28:H28"/>
    <mergeCell ref="G29:H29"/>
    <mergeCell ref="I30:J30"/>
    <mergeCell ref="I31:J31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E31:F31"/>
    <mergeCell ref="E29:F29"/>
    <mergeCell ref="E28:F28"/>
    <mergeCell ref="I28:J28"/>
    <mergeCell ref="G30:H30"/>
    <mergeCell ref="G31:H31"/>
  </mergeCells>
  <conditionalFormatting sqref="F17">
    <cfRule type="cellIs" dxfId="10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9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G29" sqref="G2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51</v>
      </c>
      <c r="C3" s="296">
        <v>44561</v>
      </c>
      <c r="D3" s="6"/>
      <c r="E3" s="47">
        <v>1</v>
      </c>
      <c r="F3" s="48">
        <f t="array" ref="F3">AVERAGE(C18:INDEX(C18:M18,1,E3))</f>
        <v>457813</v>
      </c>
      <c r="G3" s="6"/>
      <c r="H3" s="5" t="str">
        <f>"Past "&amp;'FCF Model'!C3&amp;" yrs Revenue CAGR"</f>
        <v>Past 4 yrs Revenue CAGR</v>
      </c>
      <c r="I3" s="6"/>
      <c r="J3" s="49" cm="1">
        <f t="array" ref="J3">(C7/INDEX(C7:L7,0,'FCF Model'!C3+1))^(1/('FCF Model'!C3))-1</f>
        <v>-0.16907169335969918</v>
      </c>
      <c r="K3" s="6"/>
      <c r="L3" s="6"/>
      <c r="M3" s="6"/>
    </row>
    <row r="4" spans="1:14" ht="15.75" customHeight="1" x14ac:dyDescent="0.3">
      <c r="A4" s="9"/>
      <c r="B4" s="5" t="s">
        <v>52</v>
      </c>
      <c r="C4" s="41">
        <v>1000</v>
      </c>
      <c r="D4" s="6"/>
      <c r="E4" s="50">
        <f>E3</f>
        <v>1</v>
      </c>
      <c r="F4" s="51">
        <f>AVERAGE(C16:INDEX(C16:M16,1,E4))</f>
        <v>245588.25</v>
      </c>
      <c r="G4" s="6"/>
      <c r="H4" s="3" t="str">
        <f>"Past "&amp;'FCF Model'!C3&amp;" yrs EBIT CAGR"</f>
        <v>Past 4 yrs EBIT CAGR</v>
      </c>
      <c r="I4" s="6"/>
      <c r="J4" s="52" cm="1">
        <f t="array" ref="J4">IFERROR((C14/INDEX(C14:L14,0,'FCF Model'!C3))^(1/('FCF Model'!C3-1))-1,"NA")</f>
        <v>7.9062870136091146E-2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3">
      <c r="A7" s="9"/>
      <c r="B7" s="56" t="s">
        <v>53</v>
      </c>
      <c r="C7" s="41">
        <v>1281649</v>
      </c>
      <c r="D7" s="41">
        <v>2561449</v>
      </c>
      <c r="E7" s="41">
        <v>1603918</v>
      </c>
      <c r="F7" s="41">
        <v>2998828</v>
      </c>
      <c r="G7" s="41">
        <v>2688530</v>
      </c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54</v>
      </c>
      <c r="C8" s="14">
        <f t="shared" ref="C8:L8" si="0">IF(D7="","",C7/D7-1)</f>
        <v>-0.49963907147868258</v>
      </c>
      <c r="D8" s="14">
        <f t="shared" si="0"/>
        <v>0.59699498353407088</v>
      </c>
      <c r="E8" s="14">
        <f t="shared" si="0"/>
        <v>-0.4651517192716621</v>
      </c>
      <c r="F8" s="14">
        <f t="shared" si="0"/>
        <v>0.11541548727371453</v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55</v>
      </c>
      <c r="C9" s="41">
        <v>915778</v>
      </c>
      <c r="D9" s="41">
        <v>1183731</v>
      </c>
      <c r="E9" s="41">
        <v>1208113</v>
      </c>
      <c r="F9" s="41">
        <v>2065429</v>
      </c>
      <c r="G9" s="41">
        <v>1867706</v>
      </c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56</v>
      </c>
      <c r="C10" s="14">
        <f t="shared" ref="C10:M10" si="1">IF(C7="","",(C7-C9)/C7)</f>
        <v>0.28546895444852688</v>
      </c>
      <c r="D10" s="14">
        <f t="shared" si="1"/>
        <v>0.53786665282033719</v>
      </c>
      <c r="E10" s="14">
        <f t="shared" si="1"/>
        <v>0.24677383756526206</v>
      </c>
      <c r="F10" s="14">
        <f t="shared" si="1"/>
        <v>0.31125459679581491</v>
      </c>
      <c r="G10" s="14">
        <f t="shared" si="1"/>
        <v>0.30530587346988874</v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57</v>
      </c>
      <c r="C11" s="41">
        <v>38420</v>
      </c>
      <c r="D11" s="41">
        <v>42886</v>
      </c>
      <c r="E11" s="41">
        <v>55024</v>
      </c>
      <c r="F11" s="41">
        <f>448664+199930+24186</f>
        <v>672780</v>
      </c>
      <c r="G11" s="41">
        <f>389978+162975+40212</f>
        <v>593165</v>
      </c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58</v>
      </c>
      <c r="C12" s="14">
        <f t="shared" ref="C12:M12" si="2">IF(C7="","",C10-C13)</f>
        <v>2.9977006185000765E-2</v>
      </c>
      <c r="D12" s="14">
        <f t="shared" si="2"/>
        <v>1.6742867025656083E-2</v>
      </c>
      <c r="E12" s="14">
        <f t="shared" si="2"/>
        <v>3.4305993199153562E-2</v>
      </c>
      <c r="F12" s="14">
        <f t="shared" si="2"/>
        <v>0.22434764514670399</v>
      </c>
      <c r="G12" s="14">
        <f t="shared" si="2"/>
        <v>0.22062800117536346</v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59</v>
      </c>
      <c r="C13" s="14">
        <f t="shared" ref="C13:M13" si="3">IF(C14="","",C14/C7)</f>
        <v>0.25549194826352611</v>
      </c>
      <c r="D13" s="14">
        <f t="shared" si="3"/>
        <v>0.5211237857946811</v>
      </c>
      <c r="E13" s="14">
        <f t="shared" si="3"/>
        <v>0.21246784436610849</v>
      </c>
      <c r="F13" s="14">
        <f t="shared" si="3"/>
        <v>8.6906951649110914E-2</v>
      </c>
      <c r="G13" s="14">
        <f t="shared" si="3"/>
        <v>8.4677872294525267E-2</v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60</v>
      </c>
      <c r="C14" s="31">
        <f t="shared" ref="C14:M14" si="4">IF(C7="","",C7-C9-C11)</f>
        <v>327451</v>
      </c>
      <c r="D14" s="31">
        <f t="shared" si="4"/>
        <v>1334832</v>
      </c>
      <c r="E14" s="31">
        <f t="shared" si="4"/>
        <v>340781</v>
      </c>
      <c r="F14" s="31">
        <f t="shared" si="4"/>
        <v>260619</v>
      </c>
      <c r="G14" s="31">
        <f t="shared" si="4"/>
        <v>227659</v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61</v>
      </c>
      <c r="C15" s="14">
        <f>IF(D14="","",IF(ABS(C14+D14)=ABS(C14)+ABS(D14),IF(C14&lt;0,-1,1)*(C14-D14)/D14,"Turn"))</f>
        <v>-0.75468748127105134</v>
      </c>
      <c r="D15" s="14">
        <f t="shared" ref="D15:M15" si="5">IF(E14="","",IF(ABS(D14+E14)=ABS(D14)+ABS(E14),IF(D14&lt;0,-1,1)*(D14-E14)/E14,"Turn"))</f>
        <v>2.9169789395535548</v>
      </c>
      <c r="E15" s="14">
        <f t="shared" si="5"/>
        <v>0.30758310023444185</v>
      </c>
      <c r="F15" s="14">
        <f t="shared" si="5"/>
        <v>0.14477793542095854</v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62</v>
      </c>
      <c r="C16" s="31">
        <f>IF(C14="","",C14*(1-'FCF Model'!$D$17))</f>
        <v>245588.25</v>
      </c>
      <c r="D16" s="31">
        <f>IF(D14="","",D14*(1-'FCF Model'!$D$17))</f>
        <v>1001124</v>
      </c>
      <c r="E16" s="31">
        <f>IF(E14="","",E14*(1-'FCF Model'!$D$17))</f>
        <v>255585.75</v>
      </c>
      <c r="F16" s="31">
        <f>IF(F14="","",F14*(1-'FCF Model'!$D$17))</f>
        <v>195464.25</v>
      </c>
      <c r="G16" s="31">
        <f>IF(G14="","",G14*(1-'FCF Model'!$D$17))</f>
        <v>170744.25</v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 x14ac:dyDescent="0.3">
      <c r="A17" s="9"/>
      <c r="B17" s="57" t="s">
        <v>63</v>
      </c>
      <c r="C17" s="41">
        <v>3968</v>
      </c>
      <c r="D17" s="41">
        <v>3450</v>
      </c>
      <c r="E17" s="41">
        <v>5627</v>
      </c>
      <c r="F17" s="41">
        <v>0</v>
      </c>
      <c r="G17" s="41">
        <v>0</v>
      </c>
      <c r="H17" s="41"/>
      <c r="I17" s="41"/>
      <c r="J17" s="41"/>
      <c r="K17" s="41"/>
      <c r="L17" s="41"/>
      <c r="M17" s="41"/>
      <c r="N17" s="6"/>
    </row>
    <row r="18" spans="1:14" ht="15.75" customHeight="1" x14ac:dyDescent="0.3">
      <c r="A18" s="9"/>
      <c r="B18" s="57" t="s">
        <v>64</v>
      </c>
      <c r="C18" s="41">
        <v>457813</v>
      </c>
      <c r="D18" s="41">
        <v>1379475</v>
      </c>
      <c r="E18" s="41">
        <v>513409</v>
      </c>
      <c r="F18" s="41">
        <v>205448</v>
      </c>
      <c r="G18" s="41">
        <v>195363</v>
      </c>
      <c r="H18" s="41"/>
      <c r="I18" s="41"/>
      <c r="J18" s="41"/>
      <c r="K18" s="41"/>
      <c r="L18" s="41"/>
      <c r="M18" s="41"/>
      <c r="N18" s="6"/>
    </row>
    <row r="19" spans="1:14" ht="15.75" customHeight="1" x14ac:dyDescent="0.3">
      <c r="A19" s="9"/>
      <c r="B19" s="57" t="s">
        <v>65</v>
      </c>
      <c r="C19" s="14">
        <f t="shared" ref="C19:M19" si="6">IF(C7="","",C18/C7)</f>
        <v>0.35720622416901976</v>
      </c>
      <c r="D19" s="14">
        <f t="shared" si="6"/>
        <v>0.53855259269265165</v>
      </c>
      <c r="E19" s="14">
        <f t="shared" si="6"/>
        <v>0.32009678799040847</v>
      </c>
      <c r="F19" s="14">
        <f t="shared" si="6"/>
        <v>6.8509431017717587E-2</v>
      </c>
      <c r="G19" s="14">
        <f t="shared" si="6"/>
        <v>7.2665359880678293E-2</v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 x14ac:dyDescent="0.3">
      <c r="A20" s="9"/>
      <c r="B20" s="57" t="s">
        <v>66</v>
      </c>
      <c r="C20" s="58">
        <f>'Asset Model'!C21</f>
        <v>2925507</v>
      </c>
      <c r="D20" s="41">
        <v>6298813</v>
      </c>
      <c r="E20" s="41">
        <v>4912745</v>
      </c>
      <c r="F20" s="41">
        <v>2922746</v>
      </c>
      <c r="G20" s="41">
        <v>2928529</v>
      </c>
      <c r="H20" s="41"/>
      <c r="I20" s="41"/>
      <c r="J20" s="41"/>
      <c r="K20" s="41"/>
      <c r="L20" s="41"/>
      <c r="M20" s="41"/>
      <c r="N20" s="6"/>
    </row>
    <row r="21" spans="1:14" ht="15.75" customHeight="1" x14ac:dyDescent="0.3">
      <c r="A21" s="9"/>
      <c r="B21" s="57" t="s">
        <v>67</v>
      </c>
      <c r="C21" s="58">
        <f>'Asset Model'!H21</f>
        <v>972761</v>
      </c>
      <c r="D21" s="41">
        <v>3670507</v>
      </c>
      <c r="E21" s="41">
        <v>2865345</v>
      </c>
      <c r="F21" s="41">
        <v>796096</v>
      </c>
      <c r="G21" s="41">
        <v>856948</v>
      </c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68</v>
      </c>
      <c r="C22" s="58">
        <f>'Asset Model'!H10+'Asset Model'!H12</f>
        <v>890177</v>
      </c>
      <c r="D22" s="41">
        <v>828810</v>
      </c>
      <c r="E22" s="41">
        <v>420078</v>
      </c>
      <c r="F22" s="41">
        <v>0</v>
      </c>
      <c r="G22" s="41">
        <v>0</v>
      </c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295" t="s">
        <v>69</v>
      </c>
      <c r="C23" s="292">
        <f>'Asset Model'!H12</f>
        <v>890177</v>
      </c>
      <c r="D23" s="293">
        <v>98956</v>
      </c>
      <c r="E23" s="293">
        <v>28056</v>
      </c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 x14ac:dyDescent="0.3">
      <c r="A24" s="9"/>
      <c r="B24" s="57" t="s">
        <v>70</v>
      </c>
      <c r="C24" s="58">
        <f>'Asset Model'!H23+'Asset Model'!H24</f>
        <v>2335</v>
      </c>
      <c r="D24" s="41">
        <v>9396</v>
      </c>
      <c r="E24" s="41">
        <v>131</v>
      </c>
      <c r="F24" s="41">
        <v>0</v>
      </c>
      <c r="G24" s="41">
        <v>0</v>
      </c>
      <c r="H24" s="41"/>
      <c r="I24" s="41"/>
      <c r="J24" s="41"/>
      <c r="K24" s="41"/>
      <c r="L24" s="41"/>
      <c r="M24" s="41"/>
      <c r="N24" s="6"/>
    </row>
    <row r="25" spans="1:14" ht="15.75" customHeight="1" x14ac:dyDescent="0.3">
      <c r="A25" s="9"/>
      <c r="B25" s="295" t="s">
        <v>71</v>
      </c>
      <c r="C25" s="294">
        <f>'Asset Model'!H24</f>
        <v>2335</v>
      </c>
      <c r="D25" s="293">
        <v>12457</v>
      </c>
      <c r="E25" s="293">
        <v>28056</v>
      </c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 x14ac:dyDescent="0.3">
      <c r="A26" s="9"/>
      <c r="B26" s="57" t="s">
        <v>72</v>
      </c>
      <c r="C26" s="31">
        <f>IF(C7="","",C22+C24)</f>
        <v>892512</v>
      </c>
      <c r="D26" s="31">
        <v>775</v>
      </c>
      <c r="E26" s="31">
        <v>92873</v>
      </c>
      <c r="F26" s="31">
        <f t="shared" ref="F26:M26" si="7">IF(F7="","",F22+F24)</f>
        <v>0</v>
      </c>
      <c r="G26" s="31">
        <f t="shared" si="7"/>
        <v>0</v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 x14ac:dyDescent="0.3">
      <c r="A27" s="9"/>
      <c r="B27" s="57" t="s">
        <v>73</v>
      </c>
      <c r="C27" s="58">
        <f>'Asset Model'!D3</f>
        <v>3946940</v>
      </c>
      <c r="D27" s="41">
        <v>775</v>
      </c>
      <c r="E27" s="41">
        <v>12335</v>
      </c>
      <c r="F27" s="41">
        <v>3595173</v>
      </c>
      <c r="G27" s="41">
        <v>3551074</v>
      </c>
      <c r="H27" s="41"/>
      <c r="I27" s="41"/>
      <c r="J27" s="41"/>
      <c r="K27" s="41"/>
      <c r="L27" s="41"/>
      <c r="M27" s="41"/>
      <c r="N27" s="6"/>
    </row>
    <row r="28" spans="1:14" ht="15.75" customHeight="1" x14ac:dyDescent="0.3">
      <c r="A28" s="9"/>
      <c r="B28" s="295" t="s">
        <v>74</v>
      </c>
      <c r="C28" s="294">
        <f>'Asset Model'!C43</f>
        <v>138648</v>
      </c>
      <c r="D28" s="293">
        <v>5418042</v>
      </c>
      <c r="E28" s="293">
        <v>4389444</v>
      </c>
      <c r="F28" s="293">
        <v>114637</v>
      </c>
      <c r="G28" s="293">
        <v>111878</v>
      </c>
      <c r="H28" s="293"/>
      <c r="I28" s="293"/>
      <c r="J28" s="293"/>
      <c r="K28" s="293"/>
      <c r="L28" s="293"/>
      <c r="M28" s="293"/>
      <c r="N28" s="6"/>
    </row>
    <row r="29" spans="1:14" ht="15.75" customHeight="1" x14ac:dyDescent="0.3">
      <c r="A29" s="9"/>
      <c r="B29" s="57" t="s">
        <v>75</v>
      </c>
      <c r="C29" s="58">
        <f>'Asset Model'!D52</f>
        <v>1659687</v>
      </c>
      <c r="D29" s="41">
        <v>1607247</v>
      </c>
      <c r="E29" s="41">
        <v>1505261</v>
      </c>
      <c r="F29" s="41">
        <v>1384707</v>
      </c>
      <c r="G29" s="41">
        <v>1693459</v>
      </c>
      <c r="H29" s="41"/>
      <c r="I29" s="41"/>
      <c r="J29" s="41"/>
      <c r="K29" s="41"/>
      <c r="L29" s="41"/>
      <c r="M29" s="41"/>
      <c r="N29" s="6"/>
    </row>
    <row r="30" spans="1:14" ht="15.75" customHeight="1" x14ac:dyDescent="0.3">
      <c r="A30" s="9"/>
      <c r="B30" s="57" t="s">
        <v>76</v>
      </c>
      <c r="C30" s="58">
        <f>'Asset Model'!C23+'Asset Model'!C24+'Asset Model'!C27</f>
        <v>1835208</v>
      </c>
      <c r="D30" s="41">
        <f>1515848+165265</f>
        <v>1681113</v>
      </c>
      <c r="E30" s="41">
        <f>1365671+145621</f>
        <v>1511292</v>
      </c>
      <c r="F30" s="41">
        <v>1307820</v>
      </c>
      <c r="G30" s="41">
        <f>1295386</f>
        <v>1295386</v>
      </c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77</v>
      </c>
      <c r="C31" s="14">
        <f t="shared" ref="C31:M31" si="8">IF(D7="","",(C30-D30)/C30)</f>
        <v>8.3965959171930379E-2</v>
      </c>
      <c r="D31" s="14">
        <f t="shared" si="8"/>
        <v>0.10101700480574477</v>
      </c>
      <c r="E31" s="14">
        <f t="shared" si="8"/>
        <v>0.1346344716970645</v>
      </c>
      <c r="F31" s="14">
        <f t="shared" si="8"/>
        <v>9.5074245691303093E-3</v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 x14ac:dyDescent="0.3">
      <c r="A32" s="9"/>
      <c r="B32" s="57" t="s">
        <v>78</v>
      </c>
      <c r="C32" s="31">
        <f>IF(D7="","",(C7-D7)*$D$51)</f>
        <v>-84082.859999999986</v>
      </c>
      <c r="D32" s="31">
        <f t="shared" ref="D32:M32" si="9">IF(E7="","",(D7-E7)*$D$51)</f>
        <v>62909.786699999997</v>
      </c>
      <c r="E32" s="31">
        <f t="shared" si="9"/>
        <v>-91645.587</v>
      </c>
      <c r="F32" s="31">
        <f t="shared" si="9"/>
        <v>20386.578599999997</v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 x14ac:dyDescent="0.3">
      <c r="A33" s="9"/>
      <c r="B33" s="57" t="s">
        <v>79</v>
      </c>
      <c r="C33" s="31">
        <f t="shared" ref="C33:M33" si="10">IF(D7="","",C30-D30+C32)</f>
        <v>70012.140000000014</v>
      </c>
      <c r="D33" s="31">
        <f t="shared" si="10"/>
        <v>232730.7867</v>
      </c>
      <c r="E33" s="31">
        <f t="shared" si="10"/>
        <v>111826.413</v>
      </c>
      <c r="F33" s="31">
        <f t="shared" si="10"/>
        <v>32820.578599999993</v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80</v>
      </c>
      <c r="C34" s="14">
        <f t="shared" ref="C34:M34" si="11">IF(C33="","",C33/C16)</f>
        <v>0.28507935538446977</v>
      </c>
      <c r="D34" s="14">
        <f t="shared" si="11"/>
        <v>0.23246949099212486</v>
      </c>
      <c r="E34" s="14">
        <f t="shared" si="11"/>
        <v>0.43752992097564125</v>
      </c>
      <c r="F34" s="14">
        <f t="shared" si="11"/>
        <v>0.1679109023772889</v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 x14ac:dyDescent="0.3">
      <c r="A35" s="9"/>
      <c r="B35" s="59" t="s">
        <v>81</v>
      </c>
      <c r="C35" s="60">
        <f t="shared" ref="C35:M35" si="12">IF(C27="","",C27-C29+C26)</f>
        <v>3179765</v>
      </c>
      <c r="D35" s="60">
        <f t="shared" si="12"/>
        <v>-1605697</v>
      </c>
      <c r="E35" s="60">
        <f t="shared" si="12"/>
        <v>-1400053</v>
      </c>
      <c r="F35" s="60">
        <f t="shared" si="12"/>
        <v>2210466</v>
      </c>
      <c r="G35" s="60">
        <f t="shared" si="12"/>
        <v>1857615</v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 x14ac:dyDescent="0.3">
      <c r="A36" s="9"/>
      <c r="B36" s="61" t="s">
        <v>82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 x14ac:dyDescent="0.3">
      <c r="A37" s="9"/>
      <c r="B37" s="56" t="s">
        <v>83</v>
      </c>
      <c r="C37" s="62">
        <f>IF(C16="","",(C16*$C$4)/(Dashboard!$I$6*1000000))</f>
        <v>4.4517527068062814E-2</v>
      </c>
      <c r="D37" s="62">
        <f>IF(D16="","",(D16*$C$4)/(Dashboard!$I$6*1000000))</f>
        <v>0.18147270795116346</v>
      </c>
      <c r="E37" s="62">
        <f>IF(E16="","",(E16*$C$4)/(Dashboard!$I$6*1000000))</f>
        <v>4.6329763512041544E-2</v>
      </c>
      <c r="F37" s="62">
        <f>IF(F16="","",(F16*$C$4)/(Dashboard!$I$6*1000000))</f>
        <v>3.5431601634905566E-2</v>
      </c>
      <c r="G37" s="62">
        <f>IF(G16="","",(G16*$C$4)/(Dashboard!$I$6*1000000))</f>
        <v>3.0950632903207237E-2</v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 x14ac:dyDescent="0.3">
      <c r="A38" s="9"/>
      <c r="B38" s="59" t="s">
        <v>84</v>
      </c>
      <c r="C38" s="63">
        <f>IF(C18="","",(C18*$C$4)/(Dashboard!$I$6*1000000))</f>
        <v>8.2987287134506815E-2</v>
      </c>
      <c r="D38" s="63">
        <f>IF(D18="","",(D18*$C$4)/(Dashboard!$I$6*1000000))</f>
        <v>0.25005600085596913</v>
      </c>
      <c r="E38" s="63">
        <f>IF(E18="","",(E18*$C$4)/(Dashboard!$I$6*1000000))</f>
        <v>9.3065116325748737E-2</v>
      </c>
      <c r="F38" s="63">
        <f>IF(F18="","",(F18*$C$4)/(Dashboard!$I$6*1000000))</f>
        <v>3.7241345630661768E-2</v>
      </c>
      <c r="G38" s="63">
        <f>IF(G18="","",(G18*$C$4)/(Dashboard!$I$6*1000000))</f>
        <v>3.5413248152539691E-2</v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 x14ac:dyDescent="0.3">
      <c r="A39" s="9"/>
      <c r="B39" s="183" t="s">
        <v>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 x14ac:dyDescent="0.3">
      <c r="A40" s="9"/>
      <c r="B40" s="56" t="s">
        <v>86</v>
      </c>
      <c r="C40" s="62">
        <f t="shared" ref="C40:M40" si="13">IF(C7="","",C16/C7)</f>
        <v>0.1916189611976446</v>
      </c>
      <c r="D40" s="62">
        <f t="shared" si="13"/>
        <v>0.39084283934601077</v>
      </c>
      <c r="E40" s="62">
        <f t="shared" si="13"/>
        <v>0.15935088327458136</v>
      </c>
      <c r="F40" s="62">
        <f t="shared" si="13"/>
        <v>6.5180213736833192E-2</v>
      </c>
      <c r="G40" s="62">
        <f t="shared" si="13"/>
        <v>6.3508404220893946E-2</v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 x14ac:dyDescent="0.3">
      <c r="A41" s="9"/>
      <c r="B41" s="57" t="s">
        <v>87</v>
      </c>
      <c r="C41" s="64">
        <f t="shared" ref="C41:L41" si="14">IF(D35="","",C7/D35)</f>
        <v>-0.79818857480583194</v>
      </c>
      <c r="D41" s="64">
        <f t="shared" si="14"/>
        <v>-1.8295371675215153</v>
      </c>
      <c r="E41" s="64">
        <f t="shared" si="14"/>
        <v>0.72560175094301382</v>
      </c>
      <c r="F41" s="64">
        <f t="shared" si="14"/>
        <v>1.6143431227676348</v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 x14ac:dyDescent="0.3">
      <c r="A42" s="9"/>
      <c r="B42" s="59" t="s">
        <v>88</v>
      </c>
      <c r="C42" s="63">
        <f t="shared" ref="C42:L42" si="15">IF(D35="","",C16/D35)</f>
        <v>-0.15294806554412196</v>
      </c>
      <c r="D42" s="63">
        <f t="shared" si="15"/>
        <v>-0.71506150124316725</v>
      </c>
      <c r="E42" s="63">
        <f t="shared" si="15"/>
        <v>0.11562527991835206</v>
      </c>
      <c r="F42" s="63">
        <f t="shared" si="15"/>
        <v>0.10522322978658118</v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 x14ac:dyDescent="0.3">
      <c r="A43" s="9"/>
      <c r="B43" s="183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90</v>
      </c>
      <c r="C44" s="62">
        <f t="shared" ref="C44:M44" si="16">IF(C35="","",C24/C27)</f>
        <v>5.9159754138649186E-4</v>
      </c>
      <c r="D44" s="62">
        <f t="shared" si="16"/>
        <v>12.123870967741935</v>
      </c>
      <c r="E44" s="62">
        <f t="shared" si="16"/>
        <v>1.0620186461289014E-2</v>
      </c>
      <c r="F44" s="62">
        <f t="shared" si="16"/>
        <v>0</v>
      </c>
      <c r="G44" s="62">
        <f t="shared" si="16"/>
        <v>0</v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 x14ac:dyDescent="0.3">
      <c r="A45" s="9"/>
      <c r="B45" s="57" t="s">
        <v>91</v>
      </c>
      <c r="C45" s="14">
        <f t="shared" ref="C45:M45" si="17">IF(C35="","",C26/C27)</f>
        <v>0.22612758238027433</v>
      </c>
      <c r="D45" s="14">
        <f t="shared" si="17"/>
        <v>1</v>
      </c>
      <c r="E45" s="14">
        <f t="shared" si="17"/>
        <v>7.5292257802999591</v>
      </c>
      <c r="F45" s="14">
        <f t="shared" si="17"/>
        <v>0</v>
      </c>
      <c r="G45" s="14">
        <f t="shared" si="17"/>
        <v>0</v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 x14ac:dyDescent="0.3">
      <c r="A46" s="9"/>
      <c r="B46" s="57" t="s">
        <v>92</v>
      </c>
      <c r="C46" s="67">
        <f t="shared" ref="C46:M46" si="18">IF(C35="","",IF(C26&lt;=0,"-",C14/C26))</f>
        <v>0.36688694381700188</v>
      </c>
      <c r="D46" s="67">
        <f t="shared" si="18"/>
        <v>1722.3638709677418</v>
      </c>
      <c r="E46" s="67">
        <f t="shared" si="18"/>
        <v>3.6693226233673943</v>
      </c>
      <c r="F46" s="67" t="str">
        <f t="shared" si="18"/>
        <v>-</v>
      </c>
      <c r="G46" s="67" t="str">
        <f t="shared" si="18"/>
        <v>-</v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 x14ac:dyDescent="0.3">
      <c r="A47" s="9"/>
      <c r="B47" s="57" t="s">
        <v>93</v>
      </c>
      <c r="C47" s="67">
        <f t="shared" ref="C47:M47" si="19">IF(C33="","",IF(C17&lt;=0,"-",C17/C16))</f>
        <v>1.6157124781010491E-2</v>
      </c>
      <c r="D47" s="67">
        <f t="shared" si="19"/>
        <v>3.4461265537535811E-3</v>
      </c>
      <c r="E47" s="67">
        <f t="shared" si="19"/>
        <v>2.2016094402759152E-2</v>
      </c>
      <c r="F47" s="67" t="str">
        <f t="shared" si="19"/>
        <v>-</v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 x14ac:dyDescent="0.3">
      <c r="A48" s="9"/>
      <c r="B48" s="59" t="s">
        <v>94</v>
      </c>
      <c r="C48" s="68">
        <f t="shared" ref="C48:M48" si="20">IF(C35="","",C20/C21)</f>
        <v>3.0074262845652733</v>
      </c>
      <c r="D48" s="68">
        <f t="shared" si="20"/>
        <v>1.7160607512804089</v>
      </c>
      <c r="E48" s="68">
        <f t="shared" si="20"/>
        <v>1.7145387379181216</v>
      </c>
      <c r="F48" s="68">
        <f t="shared" si="20"/>
        <v>3.6713486815660423</v>
      </c>
      <c r="G48" s="68">
        <f t="shared" si="20"/>
        <v>3.4173940542483323</v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95</v>
      </c>
      <c r="C50" s="69"/>
      <c r="D50" s="69"/>
      <c r="E50" s="69"/>
      <c r="F50" s="69"/>
    </row>
    <row r="51" spans="1:13" ht="15.75" customHeight="1" x14ac:dyDescent="0.3">
      <c r="A51" s="9"/>
      <c r="B51" s="6" t="s">
        <v>96</v>
      </c>
      <c r="C51" s="6"/>
      <c r="D51" s="361">
        <v>6.5699999999999995E-2</v>
      </c>
      <c r="E51" s="362"/>
      <c r="F51" s="6"/>
    </row>
    <row r="52" spans="1:13" ht="15" customHeight="1" x14ac:dyDescent="0.3">
      <c r="A52" s="9"/>
      <c r="B52" s="70" t="s">
        <v>97</v>
      </c>
      <c r="C52" s="6"/>
      <c r="D52" s="356" t="s">
        <v>98</v>
      </c>
      <c r="E52" s="300"/>
      <c r="F52" s="6"/>
    </row>
    <row r="53" spans="1:13" ht="15" customHeight="1" x14ac:dyDescent="0.3">
      <c r="A53" s="9"/>
      <c r="B53" s="70"/>
      <c r="D53" s="24"/>
      <c r="E53" s="24"/>
    </row>
    <row r="54" spans="1:13" ht="15.75" customHeight="1" x14ac:dyDescent="0.3">
      <c r="A54" s="9"/>
      <c r="B54" s="71" t="s">
        <v>99</v>
      </c>
      <c r="C54" s="72"/>
      <c r="D54" s="357">
        <v>5</v>
      </c>
      <c r="E54" s="358"/>
      <c r="F54" s="73"/>
    </row>
    <row r="55" spans="1:13" ht="15.75" customHeight="1" x14ac:dyDescent="0.3">
      <c r="A55" s="9"/>
      <c r="B55" s="74" t="s">
        <v>100</v>
      </c>
      <c r="C55" s="75" t="s">
        <v>101</v>
      </c>
      <c r="D55" s="359" t="s">
        <v>102</v>
      </c>
      <c r="E55" s="360"/>
      <c r="F55" s="76" t="s">
        <v>103</v>
      </c>
    </row>
    <row r="56" spans="1:13" ht="15.75" customHeight="1" x14ac:dyDescent="0.3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 x14ac:dyDescent="0.3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 x14ac:dyDescent="0.3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 x14ac:dyDescent="0.3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 x14ac:dyDescent="0.3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 x14ac:dyDescent="0.3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 x14ac:dyDescent="0.3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 x14ac:dyDescent="0.3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 x14ac:dyDescent="0.3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 x14ac:dyDescent="0.3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 x14ac:dyDescent="0.3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 x14ac:dyDescent="0.3">
      <c r="A67" s="9"/>
      <c r="B67" s="83" t="s">
        <v>104</v>
      </c>
      <c r="C67" s="70"/>
      <c r="D67" s="70"/>
      <c r="E67" s="80">
        <f>SUM(E56:E66)</f>
        <v>0</v>
      </c>
      <c r="F67" s="84"/>
    </row>
    <row r="68" spans="1:6" ht="15.75" customHeight="1" x14ac:dyDescent="0.3">
      <c r="A68" s="9"/>
      <c r="B68" s="83" t="s">
        <v>105</v>
      </c>
      <c r="C68" s="70"/>
      <c r="D68" s="70"/>
      <c r="E68" s="70"/>
      <c r="F68" s="81">
        <f>SUM(F57:F66)</f>
        <v>0</v>
      </c>
    </row>
    <row r="69" spans="1:6" ht="15.75" customHeight="1" x14ac:dyDescent="0.3">
      <c r="A69" s="9"/>
      <c r="B69" s="83"/>
      <c r="C69" s="70"/>
      <c r="D69" s="70"/>
      <c r="E69" s="70"/>
      <c r="F69" s="84"/>
    </row>
    <row r="70" spans="1:6" ht="15.75" customHeight="1" x14ac:dyDescent="0.3">
      <c r="A70" s="9"/>
      <c r="B70" s="85"/>
      <c r="C70" s="86" t="s">
        <v>106</v>
      </c>
      <c r="D70" s="86" t="s">
        <v>107</v>
      </c>
      <c r="E70" s="87" t="s">
        <v>108</v>
      </c>
      <c r="F70" s="88" t="s">
        <v>109</v>
      </c>
    </row>
    <row r="71" spans="1:6" ht="15.75" customHeight="1" x14ac:dyDescent="0.3">
      <c r="A71" s="9"/>
      <c r="B71" s="83" t="s">
        <v>110</v>
      </c>
      <c r="C71" s="89">
        <f>C14</f>
        <v>327451</v>
      </c>
      <c r="D71" s="89">
        <f>C71+C56-F68</f>
        <v>327451</v>
      </c>
      <c r="E71" s="70" t="s">
        <v>111</v>
      </c>
      <c r="F71" s="84" t="s">
        <v>112</v>
      </c>
    </row>
    <row r="72" spans="1:6" ht="15.75" customHeight="1" x14ac:dyDescent="0.3">
      <c r="A72" s="9"/>
      <c r="B72" s="83" t="s">
        <v>113</v>
      </c>
      <c r="C72" s="90">
        <f t="shared" ref="C72:D72" si="25">C71/$C$7</f>
        <v>0.25549194826352611</v>
      </c>
      <c r="D72" s="90">
        <f t="shared" si="25"/>
        <v>0.25549194826352611</v>
      </c>
      <c r="E72" s="70" t="s">
        <v>114</v>
      </c>
      <c r="F72" s="84" t="s">
        <v>115</v>
      </c>
    </row>
    <row r="73" spans="1:6" ht="15.75" customHeight="1" x14ac:dyDescent="0.3">
      <c r="A73" s="9"/>
      <c r="B73" s="83" t="s">
        <v>116</v>
      </c>
      <c r="C73" s="89">
        <f>C33</f>
        <v>70012.140000000014</v>
      </c>
      <c r="D73" s="89">
        <f>C73+E67-F68</f>
        <v>70012.140000000014</v>
      </c>
      <c r="E73" s="70" t="s">
        <v>117</v>
      </c>
      <c r="F73" s="84" t="s">
        <v>118</v>
      </c>
    </row>
    <row r="74" spans="1:6" ht="15.75" customHeight="1" x14ac:dyDescent="0.3">
      <c r="A74" s="9"/>
      <c r="B74" s="83" t="s">
        <v>119</v>
      </c>
      <c r="C74" s="89">
        <f>C16</f>
        <v>245588.25</v>
      </c>
      <c r="D74" s="89">
        <f>C74+C57</f>
        <v>245588.25</v>
      </c>
      <c r="E74" s="70" t="s">
        <v>120</v>
      </c>
      <c r="F74" s="84" t="s">
        <v>121</v>
      </c>
    </row>
    <row r="75" spans="1:6" ht="15.75" customHeight="1" x14ac:dyDescent="0.3">
      <c r="A75" s="9"/>
      <c r="B75" s="83" t="s">
        <v>122</v>
      </c>
      <c r="C75" s="89">
        <f>F3</f>
        <v>457813</v>
      </c>
      <c r="D75" s="89">
        <f>C75+C56-F68</f>
        <v>457813</v>
      </c>
      <c r="E75" s="70" t="s">
        <v>123</v>
      </c>
      <c r="F75" s="84" t="s">
        <v>121</v>
      </c>
    </row>
    <row r="76" spans="1:6" ht="15.75" customHeight="1" x14ac:dyDescent="0.3">
      <c r="A76" s="9"/>
      <c r="B76" s="91" t="s">
        <v>124</v>
      </c>
      <c r="C76" s="92">
        <f>C35</f>
        <v>3179765</v>
      </c>
      <c r="D76" s="92">
        <f>C76+E67</f>
        <v>3179765</v>
      </c>
      <c r="E76" s="8" t="s">
        <v>125</v>
      </c>
      <c r="F76" s="93" t="s">
        <v>121</v>
      </c>
    </row>
    <row r="77" spans="1:6" ht="15.75" customHeight="1" x14ac:dyDescent="0.3">
      <c r="A77" s="9"/>
      <c r="B77" s="70"/>
      <c r="C77" s="94"/>
      <c r="D77" s="94"/>
    </row>
    <row r="78" spans="1:6" ht="15.75" customHeight="1" x14ac:dyDescent="0.3">
      <c r="A78" s="9"/>
      <c r="B78" s="70"/>
      <c r="C78" s="94"/>
      <c r="D78" s="94"/>
    </row>
    <row r="79" spans="1:6" ht="15.75" customHeight="1" x14ac:dyDescent="0.3">
      <c r="A79" s="9"/>
      <c r="B79" s="70"/>
      <c r="C79" s="94"/>
      <c r="D79" s="94"/>
    </row>
    <row r="80" spans="1:6" ht="15.75" customHeight="1" x14ac:dyDescent="0.3">
      <c r="A80" s="9"/>
      <c r="B80" s="70"/>
      <c r="C80" s="95"/>
      <c r="D80" s="95"/>
    </row>
    <row r="81" spans="1:4" ht="15.75" customHeight="1" x14ac:dyDescent="0.3">
      <c r="A81" s="9"/>
      <c r="B81" s="70"/>
      <c r="C81" s="94"/>
      <c r="D81" s="94"/>
    </row>
    <row r="82" spans="1:4" ht="15.75" customHeight="1" x14ac:dyDescent="0.3">
      <c r="A82" s="9"/>
      <c r="B82" s="70"/>
      <c r="C82" s="95"/>
      <c r="D82" s="95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8" priority="1">
      <formula>$D$52="No"</formula>
    </cfRule>
  </conditionalFormatting>
  <conditionalFormatting sqref="D44:M48 C7:M35">
    <cfRule type="containsBlanks" dxfId="7" priority="2">
      <formula>LEN(TRIM(C7))=0</formula>
    </cfRule>
  </conditionalFormatting>
  <conditionalFormatting sqref="D40:M42">
    <cfRule type="containsBlanks" dxfId="6" priority="3">
      <formula>LEN(TRIM(D40))=0</formula>
    </cfRule>
  </conditionalFormatting>
  <conditionalFormatting sqref="C37:M38">
    <cfRule type="containsBlanks" dxfId="5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topLeftCell="A11" workbookViewId="0">
      <selection activeCell="D52" sqref="D52:E5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64" t="s">
        <v>126</v>
      </c>
      <c r="C2" s="364"/>
      <c r="D2" s="364"/>
      <c r="E2" s="12"/>
      <c r="F2" s="12"/>
      <c r="G2" s="12"/>
      <c r="H2" s="12"/>
    </row>
    <row r="3" spans="1:9" ht="15" customHeight="1" x14ac:dyDescent="0.3">
      <c r="B3" s="5" t="s">
        <v>127</v>
      </c>
      <c r="C3" s="6"/>
      <c r="D3" s="9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4" t="s">
        <v>128</v>
      </c>
      <c r="H4" s="6"/>
    </row>
    <row r="5" spans="1:9" ht="15" customHeight="1" x14ac:dyDescent="0.3">
      <c r="B5" s="97" t="s">
        <v>129</v>
      </c>
      <c r="C5" s="6"/>
      <c r="D5" s="98">
        <f>E39-H39-E43</f>
        <v>2263679.7196845985</v>
      </c>
      <c r="E5" s="14">
        <f>1-D5/D3</f>
        <v>0.42647222413196084</v>
      </c>
      <c r="F5" s="6"/>
      <c r="G5" s="99" t="s">
        <v>130</v>
      </c>
      <c r="H5" s="28">
        <f>IF(Data!F3&lt;=0,"NNI",D6/((Data!F3*Dashboard!I12)/(Dashboard!I5/Data!C4)))</f>
        <v>4.9445509841018023</v>
      </c>
      <c r="I5" s="6"/>
    </row>
    <row r="6" spans="1:9" ht="15" customHeight="1" x14ac:dyDescent="0.3">
      <c r="B6" s="70" t="s">
        <v>131</v>
      </c>
      <c r="D6" s="100">
        <f>(D5*Dashboard!I12*Data!C4)/Dashboard!I5</f>
        <v>1.2392113142519707</v>
      </c>
      <c r="E6" s="101"/>
      <c r="G6" s="99" t="s">
        <v>132</v>
      </c>
      <c r="H6" s="28">
        <f>D6/(Data!C27*Dashboard!I12*Data!C4/Common_Shares)</f>
        <v>0.57352777586803916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64" t="s">
        <v>133</v>
      </c>
      <c r="C8" s="364"/>
      <c r="D8" s="364"/>
      <c r="E8" s="8"/>
      <c r="F8" s="12"/>
      <c r="G8" s="12"/>
      <c r="H8" s="12"/>
    </row>
    <row r="9" spans="1:9" ht="15" customHeight="1" x14ac:dyDescent="0.3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2" t="s">
        <v>138</v>
      </c>
      <c r="H9" s="24" t="s">
        <v>135</v>
      </c>
    </row>
    <row r="10" spans="1:9" ht="15" customHeight="1" x14ac:dyDescent="0.3">
      <c r="B10" s="5" t="s">
        <v>139</v>
      </c>
      <c r="C10" s="103">
        <v>1577834</v>
      </c>
      <c r="D10" s="104">
        <v>1</v>
      </c>
      <c r="E10" s="31">
        <f>C10*D10</f>
        <v>1577834</v>
      </c>
      <c r="F10" s="6"/>
      <c r="G10" s="5" t="s">
        <v>140</v>
      </c>
      <c r="H10" s="103">
        <v>0</v>
      </c>
      <c r="I10" s="6"/>
    </row>
    <row r="11" spans="1:9" ht="14" x14ac:dyDescent="0.3">
      <c r="B11" s="5" t="s">
        <v>141</v>
      </c>
      <c r="C11" s="103">
        <v>27660</v>
      </c>
      <c r="D11" s="104">
        <v>0</v>
      </c>
      <c r="E11" s="31">
        <f t="shared" ref="E11:E17" si="0">C11*D11</f>
        <v>0</v>
      </c>
      <c r="F11" s="6"/>
      <c r="G11" s="5" t="s">
        <v>142</v>
      </c>
      <c r="H11" s="103">
        <v>7353</v>
      </c>
      <c r="I11" s="6"/>
    </row>
    <row r="12" spans="1:9" ht="14" x14ac:dyDescent="0.3">
      <c r="B12" s="5" t="s">
        <v>143</v>
      </c>
      <c r="C12" s="103">
        <v>201467</v>
      </c>
      <c r="D12" s="104">
        <v>0.7</v>
      </c>
      <c r="E12" s="31">
        <f t="shared" si="0"/>
        <v>141026.9</v>
      </c>
      <c r="F12" s="6"/>
      <c r="G12" s="5" t="s">
        <v>144</v>
      </c>
      <c r="H12" s="103">
        <v>890177</v>
      </c>
      <c r="I12" s="6"/>
    </row>
    <row r="13" spans="1:9" ht="14" x14ac:dyDescent="0.3">
      <c r="B13" s="5" t="s">
        <v>145</v>
      </c>
      <c r="C13" s="103">
        <v>674336</v>
      </c>
      <c r="D13" s="104">
        <v>0.8</v>
      </c>
      <c r="E13" s="31">
        <f t="shared" si="0"/>
        <v>539468.80000000005</v>
      </c>
      <c r="F13" s="6"/>
      <c r="G13" s="5" t="s">
        <v>146</v>
      </c>
      <c r="H13" s="103">
        <v>0</v>
      </c>
      <c r="I13" s="6"/>
    </row>
    <row r="14" spans="1:9" ht="14" x14ac:dyDescent="0.3">
      <c r="B14" s="5" t="s">
        <v>147</v>
      </c>
      <c r="C14" s="103">
        <v>0</v>
      </c>
      <c r="D14" s="104">
        <v>0.8</v>
      </c>
      <c r="E14" s="31">
        <f t="shared" si="0"/>
        <v>0</v>
      </c>
      <c r="F14" s="6"/>
      <c r="G14" s="5" t="s">
        <v>148</v>
      </c>
      <c r="H14" s="103">
        <v>28197</v>
      </c>
      <c r="I14" s="6"/>
    </row>
    <row r="15" spans="1:9" ht="14" x14ac:dyDescent="0.3">
      <c r="B15" s="5" t="s">
        <v>149</v>
      </c>
      <c r="C15" s="103">
        <v>951</v>
      </c>
      <c r="D15" s="104">
        <v>0.95</v>
      </c>
      <c r="E15" s="31">
        <f t="shared" si="0"/>
        <v>903.44999999999993</v>
      </c>
      <c r="F15" s="6"/>
      <c r="G15" s="5" t="s">
        <v>150</v>
      </c>
      <c r="H15" s="103">
        <v>47034</v>
      </c>
      <c r="I15" s="6"/>
    </row>
    <row r="16" spans="1:9" ht="14" x14ac:dyDescent="0.3">
      <c r="B16" s="5" t="s">
        <v>151</v>
      </c>
      <c r="C16" s="103">
        <v>443259</v>
      </c>
      <c r="D16" s="104">
        <v>0.6</v>
      </c>
      <c r="E16" s="31">
        <f t="shared" si="0"/>
        <v>265955.39999999997</v>
      </c>
      <c r="F16" s="6"/>
      <c r="G16" s="5" t="s">
        <v>152</v>
      </c>
      <c r="H16" s="103">
        <v>0</v>
      </c>
      <c r="I16" s="6"/>
    </row>
    <row r="17" spans="2:9" ht="14" x14ac:dyDescent="0.3">
      <c r="B17" s="5" t="s">
        <v>153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05" t="s">
        <v>154</v>
      </c>
      <c r="C19" s="106">
        <f>SUM(C10:C12)+C14</f>
        <v>1806961</v>
      </c>
      <c r="D19" s="107">
        <f t="shared" ref="D19:D21" si="1">E19/C19</f>
        <v>0.9512440500929461</v>
      </c>
      <c r="E19" s="108">
        <f>SUM(E10:E12)+E14</f>
        <v>1718860.9</v>
      </c>
      <c r="F19" s="6"/>
      <c r="G19" s="105" t="s">
        <v>155</v>
      </c>
      <c r="H19" s="109">
        <f t="shared" ref="H19:H20" si="2">E19/$H$21</f>
        <v>1.7669919949504553</v>
      </c>
      <c r="I19" s="13" t="str">
        <f>IF(H19&lt;1,"Liquidity Problem!","")</f>
        <v/>
      </c>
    </row>
    <row r="20" spans="2:9" ht="15" customHeight="1" x14ac:dyDescent="0.3">
      <c r="B20" s="105" t="s">
        <v>156</v>
      </c>
      <c r="C20" s="106">
        <f>C19+C13</f>
        <v>2481297</v>
      </c>
      <c r="D20" s="107">
        <f t="shared" si="1"/>
        <v>0.91014082554406028</v>
      </c>
      <c r="E20" s="31">
        <f>E19+E13</f>
        <v>2258329.7000000002</v>
      </c>
      <c r="F20" s="6"/>
      <c r="G20" s="105" t="s">
        <v>157</v>
      </c>
      <c r="H20" s="109">
        <f t="shared" si="2"/>
        <v>2.321566859691127</v>
      </c>
      <c r="I20" s="13"/>
    </row>
    <row r="21" spans="2:9" ht="15" customHeight="1" x14ac:dyDescent="0.3">
      <c r="B21" s="5" t="s">
        <v>158</v>
      </c>
      <c r="C21" s="106">
        <f>SUM(C10:C17)</f>
        <v>2925507</v>
      </c>
      <c r="D21" s="14">
        <f t="shared" si="1"/>
        <v>0.86316270991660604</v>
      </c>
      <c r="E21" s="31">
        <f>SUM(E10:E17)</f>
        <v>2525188.5500000003</v>
      </c>
      <c r="F21" s="6"/>
      <c r="G21" s="5" t="s">
        <v>67</v>
      </c>
      <c r="H21" s="106">
        <f>SUM(H10:H16)</f>
        <v>972761</v>
      </c>
      <c r="I21" s="13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159</v>
      </c>
      <c r="C23" s="103">
        <v>1597278</v>
      </c>
      <c r="D23" s="104">
        <v>0.5</v>
      </c>
      <c r="E23" s="31">
        <f t="shared" ref="E23:E31" si="3">C23*D23</f>
        <v>798639</v>
      </c>
      <c r="F23" s="6"/>
      <c r="G23" s="5" t="s">
        <v>160</v>
      </c>
      <c r="H23" s="103">
        <v>0</v>
      </c>
      <c r="I23" s="6"/>
    </row>
    <row r="24" spans="2:9" ht="15" customHeight="1" x14ac:dyDescent="0.3">
      <c r="B24" s="5" t="s">
        <v>161</v>
      </c>
      <c r="C24" s="103">
        <v>199795</v>
      </c>
      <c r="D24" s="104">
        <v>0.5</v>
      </c>
      <c r="E24" s="31">
        <f t="shared" si="3"/>
        <v>99897.5</v>
      </c>
      <c r="F24" s="6"/>
      <c r="G24" s="5" t="s">
        <v>162</v>
      </c>
      <c r="H24" s="103">
        <v>2335</v>
      </c>
      <c r="I24" s="6"/>
    </row>
    <row r="25" spans="2:9" ht="15" customHeight="1" x14ac:dyDescent="0.3">
      <c r="B25" s="5" t="s">
        <v>163</v>
      </c>
      <c r="C25" s="103">
        <v>0</v>
      </c>
      <c r="D25" s="104">
        <v>0.85</v>
      </c>
      <c r="E25" s="31">
        <f t="shared" si="3"/>
        <v>0</v>
      </c>
      <c r="F25" s="6"/>
      <c r="G25" s="5" t="s">
        <v>164</v>
      </c>
      <c r="H25" s="103">
        <v>0</v>
      </c>
      <c r="I25" s="6"/>
    </row>
    <row r="26" spans="2:9" ht="15" customHeight="1" x14ac:dyDescent="0.3">
      <c r="B26" s="5" t="s">
        <v>165</v>
      </c>
      <c r="C26" s="103">
        <v>116</v>
      </c>
      <c r="D26" s="104">
        <v>0.8</v>
      </c>
      <c r="E26" s="31">
        <f t="shared" si="3"/>
        <v>92.800000000000011</v>
      </c>
      <c r="F26" s="6"/>
      <c r="G26" s="5" t="s">
        <v>166</v>
      </c>
      <c r="H26" s="103">
        <v>0</v>
      </c>
      <c r="I26" s="6"/>
    </row>
    <row r="27" spans="2:9" ht="14" x14ac:dyDescent="0.3">
      <c r="B27" s="5" t="s">
        <v>167</v>
      </c>
      <c r="C27" s="103">
        <v>38135</v>
      </c>
      <c r="D27" s="104">
        <v>0.1</v>
      </c>
      <c r="E27" s="31">
        <f t="shared" si="3"/>
        <v>3813.5</v>
      </c>
      <c r="F27" s="6"/>
      <c r="G27" s="5" t="s">
        <v>168</v>
      </c>
      <c r="H27" s="103">
        <v>61106</v>
      </c>
      <c r="I27" s="6"/>
    </row>
    <row r="28" spans="2:9" ht="14" x14ac:dyDescent="0.3">
      <c r="B28" s="5" t="s">
        <v>169</v>
      </c>
      <c r="C28" s="103">
        <v>34143</v>
      </c>
      <c r="D28" s="104">
        <v>0.8</v>
      </c>
      <c r="E28" s="31">
        <f t="shared" si="3"/>
        <v>27314.400000000001</v>
      </c>
      <c r="F28" s="6"/>
      <c r="G28" s="5" t="s">
        <v>170</v>
      </c>
      <c r="H28" s="103">
        <v>18749</v>
      </c>
      <c r="I28" s="6"/>
    </row>
    <row r="29" spans="2:9" ht="14" x14ac:dyDescent="0.3">
      <c r="B29" s="5" t="s">
        <v>171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 x14ac:dyDescent="0.3">
      <c r="B30" s="5" t="s">
        <v>172</v>
      </c>
      <c r="C30" s="103">
        <v>60384</v>
      </c>
      <c r="D30" s="104">
        <v>0.95</v>
      </c>
      <c r="E30" s="31">
        <f t="shared" si="3"/>
        <v>57364.799999999996</v>
      </c>
      <c r="F30" s="6"/>
    </row>
    <row r="31" spans="2:9" ht="14" x14ac:dyDescent="0.3">
      <c r="B31" s="5" t="s">
        <v>173</v>
      </c>
      <c r="C31" s="103">
        <v>547</v>
      </c>
      <c r="D31" s="104">
        <v>0.2</v>
      </c>
      <c r="E31" s="31">
        <f t="shared" si="3"/>
        <v>109.4</v>
      </c>
      <c r="F31" s="6"/>
    </row>
    <row r="32" spans="2:9" ht="15" customHeight="1" x14ac:dyDescent="0.3">
      <c r="B32" s="5" t="s">
        <v>174</v>
      </c>
      <c r="C32" s="103">
        <v>81853</v>
      </c>
      <c r="D32" s="104">
        <v>1</v>
      </c>
      <c r="E32" s="31">
        <v>0</v>
      </c>
      <c r="F32" s="6"/>
    </row>
    <row r="33" spans="2:9" ht="15" customHeight="1" x14ac:dyDescent="0.3">
      <c r="B33" s="5" t="s">
        <v>175</v>
      </c>
      <c r="C33" s="103">
        <v>64133</v>
      </c>
      <c r="D33" s="104">
        <v>0</v>
      </c>
      <c r="E33" s="31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176</v>
      </c>
      <c r="C35" s="106">
        <f>SUM(C23:C33)</f>
        <v>2076384</v>
      </c>
      <c r="D35" s="14">
        <f>E35/C35</f>
        <v>0.4754570445543792</v>
      </c>
      <c r="E35" s="31">
        <f>SUM(E23:E33)</f>
        <v>987231.40000000014</v>
      </c>
      <c r="F35" s="6"/>
      <c r="G35" s="5" t="s">
        <v>177</v>
      </c>
      <c r="H35" s="10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05" t="s">
        <v>178</v>
      </c>
      <c r="C37" s="106">
        <f>C19+(C28+C29)+C32</f>
        <v>1922957</v>
      </c>
      <c r="D37" s="107">
        <f>E37/C37</f>
        <v>0.90806778310695446</v>
      </c>
      <c r="E37" s="108">
        <f>E19+(E28+E29)+E32</f>
        <v>1746175.2999999998</v>
      </c>
      <c r="F37" s="6"/>
      <c r="G37" s="105" t="s">
        <v>179</v>
      </c>
      <c r="H37" s="109">
        <f>E37/$H$39</f>
        <v>1.655219341941</v>
      </c>
      <c r="I37" s="13" t="str">
        <f>IF(H37&lt;1,"Liquidity Problem!","")</f>
        <v/>
      </c>
    </row>
    <row r="38" spans="2:9" ht="15" customHeight="1" x14ac:dyDescent="0.3">
      <c r="B38" s="105" t="s">
        <v>180</v>
      </c>
      <c r="C38" s="110">
        <f>C37+C31</f>
        <v>1923504</v>
      </c>
      <c r="D38" s="107">
        <f>E38/C38</f>
        <v>0.90786642502433046</v>
      </c>
      <c r="E38" s="31">
        <f>E37+E31</f>
        <v>1746284.6999999997</v>
      </c>
      <c r="F38" s="6"/>
      <c r="G38" s="105" t="s">
        <v>181</v>
      </c>
      <c r="H38" s="109">
        <f>E38/$H$39</f>
        <v>1.655323043439932</v>
      </c>
      <c r="I38" s="6"/>
    </row>
    <row r="39" spans="2:9" ht="15" customHeight="1" x14ac:dyDescent="0.3">
      <c r="B39" s="5" t="s">
        <v>182</v>
      </c>
      <c r="C39" s="110">
        <f>C21+C35</f>
        <v>5001891</v>
      </c>
      <c r="D39" s="14">
        <f>E39/C39</f>
        <v>0.70221841099696103</v>
      </c>
      <c r="E39" s="31">
        <f>E21+E35</f>
        <v>3512419.95</v>
      </c>
      <c r="F39" s="6"/>
      <c r="G39" s="5" t="s">
        <v>183</v>
      </c>
      <c r="H39" s="11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2" t="s">
        <v>184</v>
      </c>
      <c r="C41" s="22"/>
      <c r="D41" s="69"/>
    </row>
    <row r="42" spans="2:9" ht="14" x14ac:dyDescent="0.3">
      <c r="B42" s="111" t="s">
        <v>185</v>
      </c>
      <c r="C42" s="5"/>
      <c r="D42" s="365"/>
      <c r="E42" s="365"/>
    </row>
    <row r="43" spans="2:9" ht="14" x14ac:dyDescent="0.3">
      <c r="B43" s="5" t="s">
        <v>186</v>
      </c>
      <c r="C43" s="112">
        <v>138648</v>
      </c>
      <c r="D43" s="65" t="str">
        <f>IF(E43=C43,"BV of the MI","P/B Approach")</f>
        <v>P/B Approach</v>
      </c>
      <c r="E43" s="31">
        <f>MAX(C43,C43*Dashboard!I10)</f>
        <v>193789.23031540166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187</v>
      </c>
      <c r="C45" s="5"/>
      <c r="D45" s="365"/>
      <c r="E45" s="365"/>
      <c r="F45" s="70"/>
    </row>
    <row r="46" spans="2:9" ht="14" x14ac:dyDescent="0.3">
      <c r="B46" s="97" t="s">
        <v>188</v>
      </c>
      <c r="C46" s="6"/>
      <c r="D46" s="366">
        <v>0</v>
      </c>
      <c r="E46" s="300"/>
      <c r="F46" s="5"/>
    </row>
    <row r="47" spans="2:9" ht="14" x14ac:dyDescent="0.3">
      <c r="B47" s="97" t="s">
        <v>189</v>
      </c>
      <c r="C47" s="6"/>
      <c r="D47" s="366">
        <v>0</v>
      </c>
      <c r="E47" s="300"/>
      <c r="F47" s="6" t="s">
        <v>190</v>
      </c>
    </row>
    <row r="48" spans="2:9" ht="12.65" customHeight="1" x14ac:dyDescent="0.3">
      <c r="B48" s="70" t="s">
        <v>191</v>
      </c>
      <c r="C48" s="6"/>
      <c r="D48" s="320">
        <f>Data!C26+D46+D47</f>
        <v>892512</v>
      </c>
      <c r="E48" s="363"/>
      <c r="F48" s="5" t="s">
        <v>192</v>
      </c>
    </row>
    <row r="49" spans="2:7" ht="15" customHeight="1" x14ac:dyDescent="0.3">
      <c r="D49" s="6"/>
      <c r="E49" s="6"/>
    </row>
    <row r="50" spans="2:7" ht="14" x14ac:dyDescent="0.3">
      <c r="B50" s="5" t="s">
        <v>193</v>
      </c>
      <c r="C50" s="5"/>
      <c r="D50" s="365"/>
      <c r="E50" s="365"/>
      <c r="F50" s="19" t="s">
        <v>194</v>
      </c>
    </row>
    <row r="51" spans="2:7" ht="15" customHeight="1" x14ac:dyDescent="0.3">
      <c r="B51" s="70" t="s">
        <v>195</v>
      </c>
      <c r="C51" s="6"/>
      <c r="D51" s="367">
        <f>E11+E12+E25+E28+E29</f>
        <v>168341.3</v>
      </c>
      <c r="E51" s="368"/>
      <c r="F51" s="14">
        <f>1-(E12+E25+E28+E29)/(C12+C25+C28+C29)</f>
        <v>0.28550867959764026</v>
      </c>
      <c r="G51" s="6"/>
    </row>
    <row r="52" spans="2:7" ht="14" x14ac:dyDescent="0.3">
      <c r="B52" s="70" t="s">
        <v>139</v>
      </c>
      <c r="C52" s="6"/>
      <c r="D52" s="320">
        <f>C10+C32</f>
        <v>1659687</v>
      </c>
      <c r="E52" s="363"/>
      <c r="F52" s="6"/>
    </row>
    <row r="53" spans="2:7" ht="14" x14ac:dyDescent="0.3">
      <c r="B53" s="70" t="s">
        <v>196</v>
      </c>
      <c r="C53" s="6"/>
      <c r="D53" s="320">
        <f>((Dashboard!I6*1000)+D48+E43-(C12+C25+C28+C29)-D52)</f>
        <v>4707668.4786354005</v>
      </c>
      <c r="E53" s="363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B68" sqref="B6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8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13" t="s">
        <v>198</v>
      </c>
      <c r="C3" s="114">
        <v>4</v>
      </c>
      <c r="D3" s="115" t="str">
        <f>IF(E7="","next 1 years","next 3 years")</f>
        <v>next 1 years</v>
      </c>
      <c r="E3" s="115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6" t="s">
        <v>61</v>
      </c>
      <c r="C4" s="117">
        <f>Data!J4</f>
        <v>7.9062870136091146E-2</v>
      </c>
      <c r="D4" s="118">
        <f>IF(E7="",D16/C16-1,(G16/C16)^(1/4)-1)</f>
        <v>0.3094249832677245</v>
      </c>
      <c r="E4" s="117">
        <f>IF(Dashboard!D9&gt;5%,5%,IF(Dashboard!D9&lt;3.5%,3.5%,Dashboard!D9))</f>
        <v>3.8399999999999997E-2</v>
      </c>
      <c r="F4" s="119" t="s">
        <v>200</v>
      </c>
    </row>
    <row r="5" spans="1:13" ht="15.75" customHeight="1" x14ac:dyDescent="0.3">
      <c r="B5" s="120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1000HKD)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1" t="s">
        <v>202</v>
      </c>
    </row>
    <row r="7" spans="1:13" ht="15.75" customHeight="1" x14ac:dyDescent="0.3">
      <c r="B7" s="5" t="s">
        <v>203</v>
      </c>
      <c r="C7" s="49">
        <f>Data!C8</f>
        <v>-0.49963907147868258</v>
      </c>
      <c r="D7" s="122">
        <f>D8/C8-1</f>
        <v>2.1726845649627942</v>
      </c>
      <c r="E7" s="123"/>
      <c r="F7" s="223"/>
      <c r="G7" s="211"/>
      <c r="H7" s="6"/>
      <c r="I7" s="124"/>
    </row>
    <row r="8" spans="1:13" ht="15.75" customHeight="1" x14ac:dyDescent="0.3">
      <c r="B8" s="5" t="s">
        <v>204</v>
      </c>
      <c r="C8" s="125">
        <f>Data!C7</f>
        <v>1281649</v>
      </c>
      <c r="D8" s="229">
        <f>2033134*2</f>
        <v>4066268</v>
      </c>
      <c r="E8" s="221" t="str">
        <f>IF(E7="","",D8*(1+E7))</f>
        <v/>
      </c>
      <c r="F8" s="224"/>
      <c r="G8" s="211"/>
      <c r="H8" s="6"/>
      <c r="I8" s="124"/>
      <c r="M8" s="95"/>
    </row>
    <row r="9" spans="1:13" ht="15.75" customHeight="1" x14ac:dyDescent="0.3">
      <c r="B9" s="8" t="s">
        <v>205</v>
      </c>
      <c r="C9" s="60">
        <f>Data!C9</f>
        <v>915778</v>
      </c>
      <c r="D9" s="230">
        <f>D8*(1-D10)</f>
        <v>2788455.4798040004</v>
      </c>
      <c r="E9" s="222" t="str">
        <f>IF(E7="","",E8*(1-E10))</f>
        <v/>
      </c>
      <c r="F9" s="224"/>
      <c r="G9" s="211"/>
      <c r="H9" s="6"/>
      <c r="I9" s="225"/>
      <c r="M9" s="1"/>
    </row>
    <row r="10" spans="1:13" ht="15.75" customHeight="1" x14ac:dyDescent="0.3">
      <c r="B10" s="127" t="s">
        <v>206</v>
      </c>
      <c r="C10" s="49">
        <f>Data!C10</f>
        <v>0.28546895444852688</v>
      </c>
      <c r="D10" s="128">
        <v>0.314247</v>
      </c>
      <c r="E10" s="128"/>
      <c r="F10" s="226"/>
      <c r="G10" s="211"/>
      <c r="H10" s="6"/>
      <c r="I10" s="124"/>
    </row>
    <row r="11" spans="1:13" ht="15.75" customHeight="1" x14ac:dyDescent="0.3">
      <c r="B11" s="5" t="s">
        <v>207</v>
      </c>
      <c r="C11" s="31">
        <f t="shared" ref="C11" si="0">C8-C9</f>
        <v>365871</v>
      </c>
      <c r="D11" s="58">
        <f>D8-D9</f>
        <v>1277812.5201959996</v>
      </c>
      <c r="E11" s="58" t="str">
        <f>IF(E7="","",E8-E9)</f>
        <v/>
      </c>
      <c r="F11" s="227"/>
      <c r="G11" s="211"/>
      <c r="H11" s="6"/>
      <c r="I11" s="124"/>
    </row>
    <row r="12" spans="1:13" ht="15.75" customHeight="1" x14ac:dyDescent="0.3">
      <c r="B12" s="127" t="s">
        <v>58</v>
      </c>
      <c r="C12" s="52">
        <f>Data!C12</f>
        <v>2.9977006185000765E-2</v>
      </c>
      <c r="D12" s="129">
        <f>D13/D8</f>
        <v>0.20880079719290515</v>
      </c>
      <c r="E12" s="130"/>
      <c r="F12" s="226"/>
      <c r="G12" s="211"/>
      <c r="H12" s="6"/>
      <c r="I12" s="124"/>
    </row>
    <row r="13" spans="1:13" ht="15.75" customHeight="1" x14ac:dyDescent="0.3">
      <c r="B13" s="8" t="s">
        <v>208</v>
      </c>
      <c r="C13" s="131">
        <f>Data!C11</f>
        <v>38420</v>
      </c>
      <c r="D13" s="132">
        <f>(266649+140848+17023)*2</f>
        <v>849040</v>
      </c>
      <c r="E13" s="126" t="str">
        <f>IF(E7="","",E8*E12)</f>
        <v/>
      </c>
      <c r="F13" s="227"/>
      <c r="G13" s="211"/>
      <c r="H13" s="6"/>
      <c r="I13" s="124"/>
    </row>
    <row r="14" spans="1:13" ht="15.75" customHeight="1" x14ac:dyDescent="0.3">
      <c r="B14" s="127" t="s">
        <v>209</v>
      </c>
      <c r="C14" s="18">
        <f>Data!C13</f>
        <v>0.25549194826352611</v>
      </c>
      <c r="D14" s="122">
        <f>D16/D8</f>
        <v>0.10544620280709477</v>
      </c>
      <c r="E14" s="122" t="str">
        <f>IF(E7="","",E16/E8)</f>
        <v/>
      </c>
      <c r="F14" s="228"/>
      <c r="G14" s="211"/>
      <c r="H14" s="6"/>
      <c r="I14" s="124"/>
      <c r="M14" s="95"/>
    </row>
    <row r="15" spans="1:13" ht="15.75" customHeight="1" x14ac:dyDescent="0.3">
      <c r="B15" s="133" t="s">
        <v>210</v>
      </c>
      <c r="C15" s="14">
        <f>Data!C15</f>
        <v>-0.75468748127105134</v>
      </c>
      <c r="D15" s="129">
        <f>IF(ABS(C16+D16)=ABS(C16)+ABS(D16),IF(D16&lt;0,-1,1)*(D16-C16)/C16,"Turn")</f>
        <v>0.3094249832677245</v>
      </c>
      <c r="E15" s="129" t="str">
        <f>IF(E7="","",IF(ABS(D16+E16)=ABS(D16)+ABS(E16),IF(E16&lt;0,-1,1)*(E16-D16)/D16,"Turn"))</f>
        <v/>
      </c>
      <c r="F15" s="231"/>
      <c r="G15" s="134">
        <f>G19*G20</f>
        <v>3.8399999999999997E-2</v>
      </c>
      <c r="H15" s="6"/>
      <c r="I15" s="135" t="s">
        <v>211</v>
      </c>
      <c r="K15" s="136"/>
      <c r="M15" s="136"/>
    </row>
    <row r="16" spans="1:13" ht="15.75" customHeight="1" x14ac:dyDescent="0.3">
      <c r="B16" s="5" t="s">
        <v>60</v>
      </c>
      <c r="C16" s="31">
        <f>IF(Data!D52="No",Data!C71,Data!D71)</f>
        <v>327451</v>
      </c>
      <c r="D16" s="58">
        <f>D11-D13</f>
        <v>428772.52019599965</v>
      </c>
      <c r="E16" s="58" t="str">
        <f>IF(E7="","",E11-E13)</f>
        <v/>
      </c>
      <c r="F16" s="58" t="str">
        <f>IF(F15="","",E16*(1+F15))</f>
        <v/>
      </c>
      <c r="G16" s="31">
        <f>IF(F15="",IF(E15="",C28,E16*(1+G15)),F16*(1+G15))</f>
        <v>445237.38497152604</v>
      </c>
      <c r="H16" s="6"/>
      <c r="I16" s="137"/>
      <c r="K16" s="94"/>
      <c r="M16" s="94"/>
    </row>
    <row r="17" spans="2:13" ht="15.75" customHeight="1" x14ac:dyDescent="0.3">
      <c r="B17" s="20" t="s">
        <v>212</v>
      </c>
      <c r="C17" s="212"/>
      <c r="D17" s="138">
        <v>0.25</v>
      </c>
      <c r="E17" s="35" t="str">
        <f>IF(E7="","",D17)</f>
        <v/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 x14ac:dyDescent="0.3">
      <c r="B18" s="5" t="s">
        <v>119</v>
      </c>
      <c r="C18" s="139">
        <f>IF(Data!D52="No",Data!C74,Data!D74)</f>
        <v>245588.25</v>
      </c>
      <c r="D18" s="140">
        <f>IF(D16&lt;=0,D16,D16*(1-D17))</f>
        <v>321579.39014699974</v>
      </c>
      <c r="E18" s="140" t="str">
        <f>IF(E7="","",IF(E16&lt;=0,E16,E16*(1-E17)))</f>
        <v/>
      </c>
      <c r="F18" s="140" t="str">
        <f>IF(F15="","",IF(F16&lt;=0,F16,F16*(1-F17)))</f>
        <v/>
      </c>
      <c r="G18" s="139">
        <f>G16*(1-G17)</f>
        <v>333928.03872864455</v>
      </c>
      <c r="H18" s="6"/>
      <c r="I18" s="141"/>
      <c r="K18" s="94"/>
      <c r="M18" s="94"/>
    </row>
    <row r="19" spans="2:13" ht="15.75" customHeight="1" x14ac:dyDescent="0.3">
      <c r="B19" s="17" t="s">
        <v>213</v>
      </c>
      <c r="C19" s="142"/>
      <c r="D19" s="142"/>
      <c r="E19" s="142"/>
      <c r="F19" s="32"/>
      <c r="G19" s="14">
        <f>G23</f>
        <v>9.35E-2</v>
      </c>
      <c r="H19" s="6"/>
      <c r="I19" s="124" t="s">
        <v>214</v>
      </c>
      <c r="K19" s="95"/>
      <c r="M19" s="95"/>
    </row>
    <row r="20" spans="2:13" ht="15.75" customHeight="1" x14ac:dyDescent="0.3">
      <c r="B20" s="17" t="s">
        <v>80</v>
      </c>
      <c r="C20" s="14">
        <f t="shared" ref="C20" si="1">C21/C18</f>
        <v>0.28507935538446977</v>
      </c>
      <c r="D20" s="32">
        <f>IF(E7="",G20,D21/D18)</f>
        <v>0.41069518716577535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215</v>
      </c>
    </row>
    <row r="21" spans="2:13" ht="15" customHeight="1" thickBot="1" x14ac:dyDescent="0.35">
      <c r="B21" s="143" t="s">
        <v>116</v>
      </c>
      <c r="C21" s="144">
        <f>IF(Data!D52="No",Data!C73,Data!D73)</f>
        <v>70012.140000000014</v>
      </c>
      <c r="D21" s="145"/>
      <c r="E21" s="146" t="str">
        <f>IF(E7="","",IF(F15="",E18*G20,E20*E18))</f>
        <v/>
      </c>
      <c r="F21" s="232"/>
      <c r="G21" s="232"/>
      <c r="H21" s="147"/>
      <c r="I21" s="94"/>
      <c r="M21" s="94"/>
    </row>
    <row r="22" spans="2:13" ht="15.75" customHeight="1" thickTop="1" x14ac:dyDescent="0.3">
      <c r="B22" s="8" t="s">
        <v>216</v>
      </c>
      <c r="C22" s="234"/>
      <c r="D22" s="148">
        <f>IF(D18="","",IF(E7="",D18*(1-D20),D18-D21))</f>
        <v>189508.28232192178</v>
      </c>
      <c r="E22" s="148" t="str">
        <f>IF(E7="","",E18-E21)</f>
        <v/>
      </c>
      <c r="F22" s="148" t="str">
        <f>IF(F15="","",F18*(1-F20))</f>
        <v/>
      </c>
      <c r="G22" s="149">
        <f>G18*(1-G20)</f>
        <v>196785.40036308358</v>
      </c>
      <c r="H22" s="147"/>
      <c r="I22" s="94"/>
      <c r="M22" s="94"/>
    </row>
    <row r="23" spans="2:13" ht="15.75" customHeight="1" x14ac:dyDescent="0.3">
      <c r="B23" s="17" t="s">
        <v>217</v>
      </c>
      <c r="C23" s="216"/>
      <c r="D23" s="214">
        <f>Dashboard!D12</f>
        <v>9.35E-2</v>
      </c>
      <c r="E23" s="122" t="str">
        <f>IF(E7="","",D23)</f>
        <v/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 x14ac:dyDescent="0.35">
      <c r="B24" s="150" t="s">
        <v>218</v>
      </c>
      <c r="C24" s="215"/>
      <c r="D24" s="217">
        <f>IF(D16="","",1+D23)</f>
        <v>1.0934999999999999</v>
      </c>
      <c r="E24" s="151" t="str">
        <f>IF(E7="","",(1+D23)*(1+E23))</f>
        <v/>
      </c>
      <c r="F24" s="151" t="str">
        <f>IF(F15="","",(1+D23)*(1+E23)*(1+F23))</f>
        <v/>
      </c>
      <c r="G24" s="152">
        <f>IF(F15="",IF(E7="",D24,E24),F24)*(1+G23)</f>
        <v>1.1957422499999999</v>
      </c>
      <c r="H24" s="101"/>
      <c r="I24" s="95"/>
      <c r="M24" s="95"/>
    </row>
    <row r="25" spans="2:13" ht="15.75" customHeight="1" thickTop="1" x14ac:dyDescent="0.3">
      <c r="B25" s="8" t="s">
        <v>219</v>
      </c>
      <c r="C25" s="213"/>
      <c r="D25" s="218">
        <f>IF(D16="","",D22/D24)</f>
        <v>173304.32768351331</v>
      </c>
      <c r="E25" s="233" t="str">
        <f>IF(E7="","",E22/E24)</f>
        <v/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 x14ac:dyDescent="0.3">
      <c r="F26" s="6"/>
      <c r="G26" s="220"/>
    </row>
    <row r="27" spans="2:13" ht="15.75" customHeight="1" x14ac:dyDescent="0.3">
      <c r="B27" s="27" t="s">
        <v>220</v>
      </c>
      <c r="C27" s="124" t="s">
        <v>221</v>
      </c>
      <c r="G27" s="6"/>
    </row>
    <row r="28" spans="2:13" ht="15.75" customHeight="1" x14ac:dyDescent="0.3">
      <c r="B28" s="3" t="s">
        <v>222</v>
      </c>
      <c r="C28" s="153">
        <f>IF(OR(E15="",F15=""),D16,E16)*(1+G15)</f>
        <v>445237.38497152604</v>
      </c>
      <c r="E28" s="6" t="s">
        <v>223</v>
      </c>
      <c r="F28" s="14">
        <f>G23</f>
        <v>9.35E-2</v>
      </c>
      <c r="G28" s="6"/>
    </row>
    <row r="29" spans="2:13" ht="15.75" customHeight="1" thickBot="1" x14ac:dyDescent="0.35">
      <c r="B29" s="3" t="s">
        <v>224</v>
      </c>
      <c r="C29" s="154">
        <f>(C28*(1-G17))/F28</f>
        <v>3571422.8741031503</v>
      </c>
      <c r="G29" s="6"/>
    </row>
    <row r="30" spans="2:13" ht="15.75" customHeight="1" thickTop="1" x14ac:dyDescent="0.3">
      <c r="B30" s="97" t="s">
        <v>225</v>
      </c>
      <c r="C30" s="153">
        <f>C29/(IF(OR(E15="",F15=""),D24,E24)*(1+G23))</f>
        <v>2986783.2085912749</v>
      </c>
      <c r="G30" s="6"/>
    </row>
    <row r="31" spans="2:13" ht="15.75" customHeight="1" x14ac:dyDescent="0.3">
      <c r="B31" s="97" t="s">
        <v>226</v>
      </c>
      <c r="C31" s="153">
        <f>IF(OR(E15="",F15=""),D18*0.5/D24,D25+E25)</f>
        <v>147041.33065706436</v>
      </c>
    </row>
    <row r="32" spans="2:13" ht="15.75" customHeight="1" x14ac:dyDescent="0.3">
      <c r="B32" s="97" t="s">
        <v>227</v>
      </c>
      <c r="C32" s="153">
        <f>'Asset Model'!D51</f>
        <v>168341.3</v>
      </c>
    </row>
    <row r="33" spans="2:13" ht="15.75" customHeight="1" x14ac:dyDescent="0.3">
      <c r="B33" s="97" t="s">
        <v>228</v>
      </c>
      <c r="C33" s="153">
        <f>Data!C29</f>
        <v>1659687</v>
      </c>
    </row>
    <row r="34" spans="2:13" ht="15.75" customHeight="1" x14ac:dyDescent="0.3">
      <c r="B34" s="70" t="s">
        <v>229</v>
      </c>
      <c r="C34" s="153">
        <f>'Asset Model'!D48</f>
        <v>892512</v>
      </c>
    </row>
    <row r="35" spans="2:13" ht="15.75" customHeight="1" thickBot="1" x14ac:dyDescent="0.35">
      <c r="B35" s="155" t="s">
        <v>230</v>
      </c>
      <c r="C35" s="153">
        <f>'Asset Model'!E43</f>
        <v>193789.23031540166</v>
      </c>
      <c r="E35" s="3" t="s">
        <v>231</v>
      </c>
      <c r="F35" s="286">
        <f>C32+C33-C34-C35</f>
        <v>741727.06968459836</v>
      </c>
    </row>
    <row r="36" spans="2:13" ht="15.75" customHeight="1" thickTop="1" x14ac:dyDescent="0.3">
      <c r="B36" s="5" t="s">
        <v>232</v>
      </c>
      <c r="C36" s="156">
        <f>C30+C31+F35</f>
        <v>3875551.6089329375</v>
      </c>
      <c r="D36" s="157" t="str">
        <f>Dashboard!I11</f>
        <v>HKD</v>
      </c>
      <c r="E36" s="6"/>
    </row>
    <row r="37" spans="2:13" ht="15.75" customHeight="1" x14ac:dyDescent="0.3">
      <c r="B37" s="5" t="s">
        <v>233</v>
      </c>
      <c r="C37" s="158">
        <f>C36*Data!C4/Common_Shares*Exchange_Rate</f>
        <v>2.1216019920990776</v>
      </c>
      <c r="D37" s="66" t="str">
        <f>Dashboard!J4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7" t="s">
        <v>234</v>
      </c>
      <c r="C39" s="159"/>
      <c r="D39" s="24"/>
      <c r="E39" s="160"/>
      <c r="F39" s="161"/>
    </row>
    <row r="40" spans="2:13" ht="15.75" customHeight="1" x14ac:dyDescent="0.3">
      <c r="B40" s="3" t="s">
        <v>222</v>
      </c>
      <c r="C40" s="153">
        <f>G16</f>
        <v>445237.38497152604</v>
      </c>
      <c r="D40" s="24"/>
      <c r="E40" s="160"/>
      <c r="F40" s="161"/>
    </row>
    <row r="41" spans="2:13" ht="15.75" customHeight="1" thickBot="1" x14ac:dyDescent="0.35">
      <c r="B41" s="70" t="s">
        <v>224</v>
      </c>
      <c r="C41" s="154">
        <f>G22/(G23-G15)</f>
        <v>3571422.8741031499</v>
      </c>
      <c r="D41" s="162"/>
      <c r="E41" s="6" t="s">
        <v>223</v>
      </c>
      <c r="F41" s="14">
        <f>G18/C41</f>
        <v>9.3500000000000014E-2</v>
      </c>
      <c r="G41" s="6"/>
      <c r="M41" s="1"/>
    </row>
    <row r="42" spans="2:13" ht="15.75" customHeight="1" thickTop="1" x14ac:dyDescent="0.3">
      <c r="B42" s="97" t="s">
        <v>235</v>
      </c>
      <c r="C42" s="153">
        <f>C41/G24</f>
        <v>2986783.2085912749</v>
      </c>
      <c r="D42" s="163"/>
      <c r="F42" s="6"/>
      <c r="G42" s="6"/>
      <c r="I42" s="369"/>
      <c r="J42" s="369"/>
      <c r="K42" s="369"/>
      <c r="L42" s="164"/>
      <c r="M42" s="165"/>
    </row>
    <row r="43" spans="2:13" ht="15.75" customHeight="1" thickBot="1" x14ac:dyDescent="0.35">
      <c r="B43" s="97" t="s">
        <v>236</v>
      </c>
      <c r="C43" s="153">
        <f>SUM(D25:F25)</f>
        <v>173304.32768351331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 x14ac:dyDescent="0.3">
      <c r="B44" s="5" t="s">
        <v>232</v>
      </c>
      <c r="C44" s="156">
        <f>C43+C42+F35</f>
        <v>3901814.6059593866</v>
      </c>
      <c r="D44" s="157" t="str">
        <f>Dashboard!I11</f>
        <v>HKD</v>
      </c>
      <c r="E44" s="160"/>
      <c r="F44" s="161"/>
      <c r="G44" s="6"/>
      <c r="H44" s="166"/>
      <c r="I44" s="6"/>
    </row>
    <row r="45" spans="2:13" ht="15.75" customHeight="1" x14ac:dyDescent="0.3">
      <c r="B45" s="5" t="s">
        <v>233</v>
      </c>
      <c r="C45" s="158">
        <f>C44*Data!C4/Common_Shares*Exchange_Rate</f>
        <v>2.1359792040245682</v>
      </c>
      <c r="D45" s="66" t="str">
        <f>Dashboard!J4</f>
        <v>HKD</v>
      </c>
      <c r="E45" s="160"/>
      <c r="F45" s="161"/>
      <c r="G45" s="6"/>
    </row>
    <row r="46" spans="2:13" ht="15.75" customHeight="1" x14ac:dyDescent="0.3">
      <c r="C46" s="6"/>
      <c r="D46" s="6"/>
      <c r="F46" s="6"/>
      <c r="I46" s="70"/>
      <c r="J46" s="167"/>
    </row>
    <row r="47" spans="2:13" ht="15.75" customHeight="1" x14ac:dyDescent="0.3">
      <c r="C47" s="168" t="s">
        <v>237</v>
      </c>
      <c r="D47" s="30" t="s">
        <v>238</v>
      </c>
      <c r="E47" s="168" t="s">
        <v>239</v>
      </c>
      <c r="F47" s="169" t="s">
        <v>240</v>
      </c>
      <c r="G47" s="168" t="s">
        <v>241</v>
      </c>
      <c r="I47" s="170" t="s">
        <v>202</v>
      </c>
    </row>
    <row r="48" spans="2:13" ht="15.75" hidden="1" customHeight="1" x14ac:dyDescent="0.3">
      <c r="C48" s="6"/>
      <c r="D48" s="6"/>
      <c r="E48" s="171">
        <f>G18/F41</f>
        <v>3571422.8741031499</v>
      </c>
      <c r="F48" s="172"/>
      <c r="I48" s="173"/>
    </row>
    <row r="49" spans="1:12" ht="15.75" customHeight="1" x14ac:dyDescent="0.3">
      <c r="B49" s="3" t="s">
        <v>242</v>
      </c>
      <c r="C49" s="174">
        <f>1/D49</f>
        <v>10.695187165775399</v>
      </c>
      <c r="D49" s="14">
        <f>F41</f>
        <v>9.3500000000000014E-2</v>
      </c>
      <c r="E49" s="175">
        <f t="dataTable" ref="E49:E54" dt2D="0" dtr="0" r1="F41" ca="1"/>
        <v>3571422.8741031499</v>
      </c>
      <c r="F49" s="176">
        <f>(E49/G24+C43+(C32+C33-C34-C35))*Data!C$4/Common_Shares*Exchange_Rate</f>
        <v>2.1359792040245682</v>
      </c>
      <c r="G49" s="177">
        <f>IF(Data!F$3&lt;=0,"NNI",F49/((Data!F$3*Exchange_Rate)/(Common_Shares/Data!C$4)))</f>
        <v>8.5227256673781344</v>
      </c>
      <c r="I49" s="124" t="s">
        <v>243</v>
      </c>
    </row>
    <row r="50" spans="1:12" ht="15.75" customHeight="1" x14ac:dyDescent="0.3">
      <c r="C50" s="178">
        <f>1/D50</f>
        <v>12.019230769230768</v>
      </c>
      <c r="D50" s="14">
        <f>D49-((D$49-D$54)/5)</f>
        <v>8.320000000000001E-2</v>
      </c>
      <c r="E50" s="179">
        <v>4013558.1577962078</v>
      </c>
      <c r="F50" s="176">
        <f>(E50/G24+C43+(C32+C33-C34-C35))*Data!C$4/Common_Shares*Exchange_Rate</f>
        <v>2.3383966726819128</v>
      </c>
      <c r="G50" s="178">
        <f>IF(Data!F$3&lt;=0,"NNI",F50/((Data!F$3*Exchange_Rate)/(Common_Shares/Data!C$4)))</f>
        <v>9.3303873489156572</v>
      </c>
      <c r="I50" s="124"/>
    </row>
    <row r="51" spans="1:12" ht="15.75" customHeight="1" x14ac:dyDescent="0.3">
      <c r="C51" s="178">
        <f>1/D51</f>
        <v>13.717421124828531</v>
      </c>
      <c r="D51" s="14">
        <f>D50-((D$49-D$54)/5)</f>
        <v>7.2900000000000006E-2</v>
      </c>
      <c r="E51" s="179">
        <v>5004916.647611578</v>
      </c>
      <c r="F51" s="176">
        <f>(E51/G24+C43+(C32+C33-C34-C35))*Data!C$4/Common_Shares*Exchange_Rate</f>
        <v>2.7922583829807541</v>
      </c>
      <c r="G51" s="178">
        <f>IF(Data!F$3&lt;=0,"NNI",F51/((Data!F$3*Exchange_Rate)/(Common_Shares/Data!C$4)))</f>
        <v>11.141331407039353</v>
      </c>
      <c r="I51" s="124"/>
    </row>
    <row r="52" spans="1:12" ht="15.75" customHeight="1" x14ac:dyDescent="0.3">
      <c r="C52" s="178">
        <f t="shared" ref="C52:C53" si="2">1/D52</f>
        <v>15.974440894568689</v>
      </c>
      <c r="D52" s="14">
        <f>D51-((D$49-D$54)/5)</f>
        <v>6.2600000000000003E-2</v>
      </c>
      <c r="E52" s="179">
        <v>6435554.2462350549</v>
      </c>
      <c r="F52" s="176">
        <f>(E52/G24+C43+(C32+C33-C34-C35))*Data!C$4/Common_Shares*Exchange_Rate</f>
        <v>3.4472299538097961</v>
      </c>
      <c r="G52" s="178">
        <f>IF(Data!F$3&lt;=0,"NNI",F52/((Data!F$3*Exchange_Rate)/(Common_Shares/Data!C$4)))</f>
        <v>13.754719687032853</v>
      </c>
      <c r="I52" s="124" t="s">
        <v>244</v>
      </c>
    </row>
    <row r="53" spans="1:12" ht="15.75" customHeight="1" x14ac:dyDescent="0.3">
      <c r="C53" s="178">
        <f t="shared" si="2"/>
        <v>19.120458891013385</v>
      </c>
      <c r="D53" s="14">
        <f>D52-((D$49-D$54)/5)</f>
        <v>5.2299999999999999E-2</v>
      </c>
      <c r="E53" s="179">
        <v>7593139.2056102334</v>
      </c>
      <c r="F53" s="176">
        <f>(E53/G24+C43+(C32+C33-C34-C35))*Data!C$4/Common_Shares*Exchange_Rate</f>
        <v>3.9771931254330908</v>
      </c>
      <c r="G53" s="178">
        <f>IF(Data!F$3&lt;=0,"NNI",F53/((Data!F$3*Exchange_Rate)/(Common_Shares/Data!C$4)))</f>
        <v>15.869314584328036</v>
      </c>
      <c r="I53" s="124"/>
    </row>
    <row r="54" spans="1:12" ht="15.75" customHeight="1" x14ac:dyDescent="0.3">
      <c r="B54" s="3" t="s">
        <v>245</v>
      </c>
      <c r="C54" s="180">
        <f>1/D54</f>
        <v>23.809523809523807</v>
      </c>
      <c r="D54" s="138">
        <v>4.2000000000000003E-2</v>
      </c>
      <c r="E54" s="181">
        <v>7950667.5887772506</v>
      </c>
      <c r="F54" s="182">
        <f>(E54/G24+C43+(C32+C33-C34-C35))*Data!C$4/Common_Shares*Exchange_Rate</f>
        <v>4.1408760364401704</v>
      </c>
      <c r="G54" s="180">
        <f>IF(Data!F$3&lt;=0,"NNI",F54/((Data!F$3*Exchange_Rate)/(Common_Shares/Data!C$4)))</f>
        <v>16.522422322606914</v>
      </c>
      <c r="I54" s="12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25</v>
      </c>
      <c r="C56" s="30" t="s">
        <v>243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 x14ac:dyDescent="0.3">
      <c r="A57" s="6"/>
      <c r="B57" s="111" t="s">
        <v>246</v>
      </c>
      <c r="C57" s="185">
        <f>C37</f>
        <v>2.1216019920990776</v>
      </c>
      <c r="D57" s="24" t="str">
        <f>IF(C57&lt;E57,"&lt;",IF(C57=E57,"=","&gt;"))</f>
        <v>&lt;</v>
      </c>
      <c r="E57" s="186">
        <f>F54</f>
        <v>4.1408760364401704</v>
      </c>
      <c r="F57" s="6"/>
      <c r="G57" s="6"/>
      <c r="H57" s="6"/>
      <c r="I57" s="6"/>
      <c r="L57" s="6"/>
    </row>
    <row r="58" spans="1:12" ht="15.75" customHeight="1" x14ac:dyDescent="0.3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 x14ac:dyDescent="0.3">
      <c r="C59" s="321" t="s">
        <v>247</v>
      </c>
      <c r="D59" s="370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3">
      <c r="B60" s="6" t="s">
        <v>249</v>
      </c>
      <c r="C60" s="187">
        <f>MIN(C57,E57)+(ABS(C57-E57)*'Qualitative Analysis'!E79)</f>
        <v>3.4191629961306749</v>
      </c>
      <c r="D60" s="238" t="str">
        <f>D45</f>
        <v>HKD</v>
      </c>
      <c r="E60" s="239">
        <f>IF(Data!F3&lt;=0,"NNI",C60/((Data!F3*Exchange_Rate)/(Common_Shares/Data!C4)))</f>
        <v>13.642730309904858</v>
      </c>
      <c r="F60" s="239">
        <f>C60/(Data!C27*Exchange_Rate*Data!C4/Common_Shares)</f>
        <v>1.582445968615807</v>
      </c>
      <c r="G60" s="246">
        <f>IRR(C64:G64)</f>
        <v>0.1754099224177379</v>
      </c>
      <c r="H60" s="6"/>
      <c r="I60" s="124" t="s">
        <v>250</v>
      </c>
    </row>
    <row r="61" spans="1:12" ht="15.65" customHeight="1" x14ac:dyDescent="0.3">
      <c r="D61" s="6"/>
      <c r="E61" s="6"/>
      <c r="F61" s="6"/>
      <c r="G61" s="6"/>
    </row>
    <row r="62" spans="1:12" ht="15.75" customHeight="1" x14ac:dyDescent="0.3">
      <c r="B62" s="22" t="s">
        <v>251</v>
      </c>
      <c r="C62" s="254" t="s">
        <v>252</v>
      </c>
      <c r="D62" s="99" t="s">
        <v>253</v>
      </c>
      <c r="E62" s="168" t="s">
        <v>31</v>
      </c>
    </row>
    <row r="63" spans="1:12" ht="15.75" hidden="1" customHeight="1" x14ac:dyDescent="0.3">
      <c r="C63" s="36" t="s">
        <v>254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255</v>
      </c>
    </row>
    <row r="64" spans="1:12" ht="15.75" hidden="1" customHeight="1" x14ac:dyDescent="0.3">
      <c r="C64" s="176">
        <f>D66</f>
        <v>-2.6139546708629871</v>
      </c>
      <c r="D64" s="176">
        <f>D22/(Dashboard!I5/Data!C4)</f>
        <v>0.10374294806621445</v>
      </c>
      <c r="E64" s="176">
        <f>IF(E7="",I64,E22)/(Dashboard!I5/Data!C4)</f>
        <v>3.4894691849353463</v>
      </c>
      <c r="F64" s="240" t="str">
        <f>IF(E7="","",IF(F15="",I64,F22)/(Dashboard!I5/Data!C4))</f>
        <v/>
      </c>
      <c r="G64" s="241" t="str">
        <f>IF(AND(E7="",F15=""),"",IF(F15="","",I64/(Dashboard!I5/Data!C4)))</f>
        <v/>
      </c>
      <c r="H64" s="6"/>
      <c r="I64" s="280">
        <f>(C60*Dashboard!I5/Data!C4-F35-C43)*G24</f>
        <v>6374248.3106447533</v>
      </c>
    </row>
    <row r="65" spans="2:5" ht="15.75" hidden="1" customHeight="1" x14ac:dyDescent="0.3">
      <c r="E65" s="252">
        <f>IRR(C64:G64)</f>
        <v>0.1754099224177379</v>
      </c>
    </row>
    <row r="66" spans="2:5" ht="15.65" customHeight="1" x14ac:dyDescent="0.3">
      <c r="B66" s="284">
        <f>Dashboard!B17</f>
        <v>3.02</v>
      </c>
      <c r="C66" s="371">
        <f>F35/(Dashboard!I5/Data!C4)</f>
        <v>0.40604532913701302</v>
      </c>
      <c r="D66" s="282">
        <f>-B66+C66</f>
        <v>-2.6139546708629871</v>
      </c>
      <c r="E66" s="259">
        <f t="dataTable" ref="E66:E68" dt2D="0" dtr="0" r1="C64" ca="1"/>
        <v>0.1754099224177379</v>
      </c>
    </row>
    <row r="67" spans="2:5" ht="15.75" customHeight="1" x14ac:dyDescent="0.3">
      <c r="B67" s="256">
        <f>Dashboard!B18</f>
        <v>3.4191629961306749</v>
      </c>
      <c r="C67" s="372"/>
      <c r="D67" s="281">
        <f>-B67+C66</f>
        <v>-3.0131176669936619</v>
      </c>
      <c r="E67" s="258">
        <v>9.3500000000780625E-2</v>
      </c>
    </row>
    <row r="68" spans="2:5" ht="15.75" customHeight="1" x14ac:dyDescent="0.3">
      <c r="B68" s="285">
        <f>Dashboard!B19</f>
        <v>2</v>
      </c>
      <c r="C68" s="373"/>
      <c r="D68" s="283">
        <f>-B68+C66</f>
        <v>-1.593954670862987</v>
      </c>
      <c r="E68" s="261">
        <v>0.51249152787196617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topLeftCell="A49" workbookViewId="0">
      <selection activeCell="B14" sqref="B1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256</v>
      </c>
      <c r="C2" s="191"/>
      <c r="D2" s="12"/>
      <c r="E2" s="12"/>
    </row>
    <row r="3" spans="1:5" ht="14" x14ac:dyDescent="0.3">
      <c r="B3" s="192" t="s">
        <v>257</v>
      </c>
      <c r="C3" s="193"/>
      <c r="D3" s="6"/>
      <c r="E3" s="6"/>
    </row>
    <row r="4" spans="1:5" ht="14" x14ac:dyDescent="0.3">
      <c r="B4" s="6" t="s">
        <v>258</v>
      </c>
      <c r="C4" s="193"/>
      <c r="D4" s="190">
        <f>IF(E4="Strongly disagree",0,IF(E4="disagree",1,IF(E4="unclear",2,IF(E4="agree",3,4))))</f>
        <v>4</v>
      </c>
      <c r="E4" s="37" t="s">
        <v>259</v>
      </c>
    </row>
    <row r="5" spans="1:5" ht="14" x14ac:dyDescent="0.3">
      <c r="B5" s="6" t="s">
        <v>260</v>
      </c>
      <c r="C5" s="193"/>
      <c r="D5" s="190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3">
      <c r="B6" s="6" t="s">
        <v>261</v>
      </c>
      <c r="C6" s="193"/>
      <c r="D6" s="190">
        <f t="shared" si="0"/>
        <v>4</v>
      </c>
      <c r="E6" s="37" t="s">
        <v>259</v>
      </c>
    </row>
    <row r="7" spans="1:5" ht="14" x14ac:dyDescent="0.3">
      <c r="B7" s="194" t="s">
        <v>262</v>
      </c>
      <c r="C7" s="193"/>
      <c r="D7" s="190">
        <f>AVERAGE(D4:D6)</f>
        <v>3.6666666666666665</v>
      </c>
      <c r="E7" s="195">
        <f>D7/4</f>
        <v>0.91666666666666663</v>
      </c>
    </row>
    <row r="8" spans="1:5" ht="14" x14ac:dyDescent="0.3">
      <c r="B8" s="193"/>
      <c r="C8" s="193"/>
      <c r="E8" s="6"/>
    </row>
    <row r="9" spans="1:5" ht="14" x14ac:dyDescent="0.3">
      <c r="B9" s="196" t="s">
        <v>263</v>
      </c>
      <c r="C9" s="70"/>
      <c r="D9" s="44"/>
      <c r="E9" s="24"/>
    </row>
    <row r="10" spans="1:5" ht="14" x14ac:dyDescent="0.3">
      <c r="B10" s="3" t="s">
        <v>264</v>
      </c>
      <c r="D10" s="197">
        <f>IF(E10="Strongly disagree",0,IF(E10="disagree",1,IF(E10="unclear",2,IF(E10="agree",3,4))))</f>
        <v>4</v>
      </c>
      <c r="E10" s="37" t="s">
        <v>259</v>
      </c>
    </row>
    <row r="11" spans="1:5" ht="14" x14ac:dyDescent="0.3">
      <c r="B11" s="3" t="s">
        <v>265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" x14ac:dyDescent="0.3">
      <c r="B12" s="3" t="s">
        <v>266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" x14ac:dyDescent="0.3">
      <c r="B13" s="3" t="s">
        <v>267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" x14ac:dyDescent="0.3">
      <c r="B14" s="194" t="s">
        <v>268</v>
      </c>
      <c r="D14" s="197"/>
      <c r="E14" s="195">
        <f>SUM(D10:D13)/12</f>
        <v>1.1666666666666667</v>
      </c>
    </row>
    <row r="15" spans="1:5" ht="15" customHeight="1" x14ac:dyDescent="0.3">
      <c r="E15" s="6"/>
    </row>
    <row r="16" spans="1:5" ht="15" customHeight="1" x14ac:dyDescent="0.3">
      <c r="A16" s="4"/>
      <c r="B16" s="11" t="s">
        <v>269</v>
      </c>
      <c r="C16" s="21"/>
      <c r="D16" s="21"/>
      <c r="E16" s="12"/>
    </row>
    <row r="17" spans="2:6" ht="15" customHeight="1" x14ac:dyDescent="0.3">
      <c r="B17" s="196" t="s">
        <v>270</v>
      </c>
      <c r="C17" s="189"/>
      <c r="E17" s="6"/>
    </row>
    <row r="18" spans="2:6" ht="15" customHeight="1" x14ac:dyDescent="0.3">
      <c r="B18" s="70" t="s">
        <v>271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 x14ac:dyDescent="0.3">
      <c r="B19" s="70" t="s">
        <v>272</v>
      </c>
      <c r="D19" s="197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3">
      <c r="B20" s="70" t="s">
        <v>273</v>
      </c>
      <c r="D20" s="197">
        <f>IF(E20="Strongly disagree",0,IF(E20="disagree",1,IF(E20="unclear",2,IF(E20="agree",3,4))))</f>
        <v>2</v>
      </c>
      <c r="E20" s="37" t="s">
        <v>274</v>
      </c>
      <c r="F20" s="6"/>
    </row>
    <row r="21" spans="2:6" ht="15" customHeight="1" x14ac:dyDescent="0.3">
      <c r="B21" s="70" t="s">
        <v>275</v>
      </c>
      <c r="D21" s="197">
        <f>IF(E21="Strongly disagree",0,IF(E21="disagree",1,IF(E21="unclear",2,IF(E21="agree",3,4))))</f>
        <v>1</v>
      </c>
      <c r="E21" s="37" t="s">
        <v>276</v>
      </c>
      <c r="F21" s="6"/>
    </row>
    <row r="22" spans="2:6" ht="15" customHeight="1" x14ac:dyDescent="0.3">
      <c r="B22" s="70" t="s">
        <v>277</v>
      </c>
      <c r="D22" s="197">
        <f>IF(E22="Strongly disagree",0,IF(E22="disagree",1,IF(E22="unclear",2,IF(E22="agree",3,4))))</f>
        <v>4</v>
      </c>
      <c r="E22" s="37" t="s">
        <v>259</v>
      </c>
      <c r="F22" s="6"/>
    </row>
    <row r="23" spans="2:6" ht="15" customHeight="1" x14ac:dyDescent="0.3">
      <c r="B23" s="196" t="s">
        <v>278</v>
      </c>
      <c r="D23" s="44"/>
      <c r="E23" s="24"/>
    </row>
    <row r="24" spans="2:6" ht="15" customHeight="1" x14ac:dyDescent="0.3">
      <c r="B24" s="70" t="s">
        <v>279</v>
      </c>
      <c r="D24" s="197">
        <f>IF(E24="Strongly disagree",0,IF(E24="disagree",1,IF(E24="unclear",2,IF(E24="agree",3,4))))</f>
        <v>2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24" s="6"/>
    </row>
    <row r="25" spans="2:6" ht="15" customHeight="1" x14ac:dyDescent="0.3">
      <c r="B25" s="70" t="s">
        <v>280</v>
      </c>
      <c r="D25" s="197">
        <f t="shared" ref="D25:D28" si="2">IF(E25="Strongly disagree",0,IF(E25="disagree",1,IF(E25="unclear",2,IF(E25="agree",3,4))))</f>
        <v>3</v>
      </c>
      <c r="E25" s="37" t="s">
        <v>23</v>
      </c>
      <c r="F25" s="6"/>
    </row>
    <row r="26" spans="2:6" ht="15" customHeight="1" x14ac:dyDescent="0.3">
      <c r="B26" s="70" t="s">
        <v>281</v>
      </c>
      <c r="D26" s="197">
        <f t="shared" si="2"/>
        <v>1</v>
      </c>
      <c r="E26" s="37" t="s">
        <v>276</v>
      </c>
      <c r="F26" s="6"/>
    </row>
    <row r="27" spans="2:6" ht="15" customHeight="1" x14ac:dyDescent="0.3">
      <c r="B27" s="70" t="s">
        <v>282</v>
      </c>
      <c r="D27" s="197">
        <f t="shared" si="2"/>
        <v>3</v>
      </c>
      <c r="E27" s="37" t="s">
        <v>23</v>
      </c>
      <c r="F27" s="6"/>
    </row>
    <row r="28" spans="2:6" ht="15" customHeight="1" x14ac:dyDescent="0.3">
      <c r="B28" s="70" t="s">
        <v>283</v>
      </c>
      <c r="D28" s="197">
        <f t="shared" si="2"/>
        <v>3</v>
      </c>
      <c r="E28" s="37" t="s">
        <v>23</v>
      </c>
      <c r="F28" s="6"/>
    </row>
    <row r="29" spans="2:6" ht="15" customHeight="1" x14ac:dyDescent="0.3">
      <c r="B29" s="196" t="s">
        <v>284</v>
      </c>
      <c r="D29" s="44"/>
      <c r="E29" s="24"/>
    </row>
    <row r="30" spans="2:6" ht="15" customHeight="1" x14ac:dyDescent="0.3">
      <c r="B30" s="70" t="s">
        <v>285</v>
      </c>
      <c r="D30" s="197">
        <f t="shared" ref="D30:D34" si="3">IF(E30="Strongly disagree",0,IF(E30="disagree",1,IF(E30="unclear",2,IF(E30="agree",3,4))))</f>
        <v>4</v>
      </c>
      <c r="E30" s="37" t="s">
        <v>259</v>
      </c>
      <c r="F30" s="6"/>
    </row>
    <row r="31" spans="2:6" ht="15" customHeight="1" x14ac:dyDescent="0.3">
      <c r="B31" s="70" t="s">
        <v>286</v>
      </c>
      <c r="D31" s="197">
        <f t="shared" si="3"/>
        <v>3</v>
      </c>
      <c r="E31" s="37" t="s">
        <v>23</v>
      </c>
      <c r="F31" s="6"/>
    </row>
    <row r="32" spans="2:6" ht="15" customHeight="1" x14ac:dyDescent="0.3">
      <c r="B32" s="70" t="s">
        <v>287</v>
      </c>
      <c r="D32" s="197">
        <f t="shared" si="3"/>
        <v>4</v>
      </c>
      <c r="E32" s="37" t="s">
        <v>259</v>
      </c>
      <c r="F32" s="6"/>
    </row>
    <row r="33" spans="2:6" ht="15" customHeight="1" x14ac:dyDescent="0.3">
      <c r="B33" s="70" t="s">
        <v>288</v>
      </c>
      <c r="D33" s="197">
        <f t="shared" si="3"/>
        <v>2</v>
      </c>
      <c r="E33" s="37" t="s">
        <v>274</v>
      </c>
      <c r="F33" s="6"/>
    </row>
    <row r="34" spans="2:6" ht="15" customHeight="1" x14ac:dyDescent="0.3">
      <c r="B34" s="70" t="s">
        <v>289</v>
      </c>
      <c r="D34" s="197">
        <f t="shared" si="3"/>
        <v>3</v>
      </c>
      <c r="E34" s="37" t="s">
        <v>23</v>
      </c>
      <c r="F34" s="6"/>
    </row>
    <row r="35" spans="2:6" ht="15" customHeight="1" x14ac:dyDescent="0.3">
      <c r="B35" s="196" t="s">
        <v>290</v>
      </c>
      <c r="D35" s="44"/>
      <c r="E35" s="24"/>
    </row>
    <row r="36" spans="2:6" ht="15" customHeight="1" x14ac:dyDescent="0.3">
      <c r="B36" s="1" t="s">
        <v>291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 x14ac:dyDescent="0.3">
      <c r="B37" s="70" t="s">
        <v>292</v>
      </c>
      <c r="D37" s="197">
        <f t="shared" ref="D37:D44" si="4">IF(E37="Strongly disagree",0,IF(E37="disagree",1,IF(E37="unclear",2,IF(E37="agree",3,4))))</f>
        <v>0</v>
      </c>
      <c r="E37" s="37" t="s">
        <v>293</v>
      </c>
      <c r="F37" s="6"/>
    </row>
    <row r="38" spans="2:6" ht="15" customHeight="1" x14ac:dyDescent="0.3">
      <c r="B38" s="70" t="s">
        <v>294</v>
      </c>
      <c r="D38" s="197">
        <f t="shared" si="4"/>
        <v>3</v>
      </c>
      <c r="E38" s="37" t="s">
        <v>23</v>
      </c>
      <c r="F38" s="6"/>
    </row>
    <row r="39" spans="2:6" ht="15" customHeight="1" x14ac:dyDescent="0.3">
      <c r="B39" s="70" t="s">
        <v>295</v>
      </c>
      <c r="D39" s="197">
        <f t="shared" si="4"/>
        <v>4</v>
      </c>
      <c r="E39" s="37" t="s">
        <v>259</v>
      </c>
      <c r="F39" s="6"/>
    </row>
    <row r="40" spans="2:6" ht="15" customHeight="1" x14ac:dyDescent="0.3">
      <c r="B40" s="70" t="s">
        <v>296</v>
      </c>
      <c r="D40" s="197">
        <f t="shared" si="4"/>
        <v>0</v>
      </c>
      <c r="E40" s="37" t="s">
        <v>293</v>
      </c>
      <c r="F40" s="6"/>
    </row>
    <row r="41" spans="2:6" ht="15" customHeight="1" x14ac:dyDescent="0.3">
      <c r="B41" s="70" t="s">
        <v>297</v>
      </c>
      <c r="D41" s="197">
        <f t="shared" si="4"/>
        <v>0</v>
      </c>
      <c r="E41" s="37" t="s">
        <v>293</v>
      </c>
      <c r="F41" s="6"/>
    </row>
    <row r="42" spans="2:6" ht="15" customHeight="1" x14ac:dyDescent="0.3">
      <c r="B42" s="70" t="s">
        <v>298</v>
      </c>
      <c r="D42" s="197">
        <f t="shared" si="4"/>
        <v>2</v>
      </c>
      <c r="E42" s="37" t="s">
        <v>274</v>
      </c>
      <c r="F42" s="6"/>
    </row>
    <row r="43" spans="2:6" ht="15" customHeight="1" x14ac:dyDescent="0.3">
      <c r="B43" s="70" t="s">
        <v>299</v>
      </c>
      <c r="D43" s="197">
        <f t="shared" si="4"/>
        <v>4</v>
      </c>
      <c r="E43" s="37" t="s">
        <v>259</v>
      </c>
      <c r="F43" s="6"/>
    </row>
    <row r="44" spans="2:6" ht="15" customHeight="1" x14ac:dyDescent="0.3">
      <c r="B44" s="70" t="s">
        <v>300</v>
      </c>
      <c r="D44" s="197">
        <f t="shared" si="4"/>
        <v>0</v>
      </c>
      <c r="E44" s="37" t="s">
        <v>293</v>
      </c>
    </row>
    <row r="45" spans="2:6" ht="15" customHeight="1" x14ac:dyDescent="0.3">
      <c r="B45" s="1" t="s">
        <v>301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 x14ac:dyDescent="0.3">
      <c r="B46" s="70" t="s">
        <v>302</v>
      </c>
      <c r="D46" s="197">
        <f t="shared" ref="D46:D51" si="5">IF(E46="Strongly disagree",0,IF(E46="disagree",1,IF(E46="unclear",2,IF(E46="agree",3,4))))</f>
        <v>0</v>
      </c>
      <c r="E46" s="37" t="s">
        <v>293</v>
      </c>
      <c r="F46" s="6"/>
    </row>
    <row r="47" spans="2:6" ht="15" customHeight="1" x14ac:dyDescent="0.3">
      <c r="B47" s="70" t="s">
        <v>303</v>
      </c>
      <c r="D47" s="197">
        <f t="shared" si="5"/>
        <v>0</v>
      </c>
      <c r="E47" s="37" t="s">
        <v>293</v>
      </c>
      <c r="F47" s="6"/>
    </row>
    <row r="48" spans="2:6" ht="15" customHeight="1" x14ac:dyDescent="0.3">
      <c r="B48" s="70" t="s">
        <v>304</v>
      </c>
      <c r="D48" s="197">
        <f t="shared" si="5"/>
        <v>0</v>
      </c>
      <c r="E48" s="37" t="s">
        <v>293</v>
      </c>
      <c r="F48" s="6"/>
    </row>
    <row r="49" spans="2:6" ht="15" customHeight="1" x14ac:dyDescent="0.3">
      <c r="B49" s="70" t="s">
        <v>305</v>
      </c>
      <c r="D49" s="197">
        <f t="shared" si="5"/>
        <v>0</v>
      </c>
      <c r="E49" s="37" t="s">
        <v>293</v>
      </c>
      <c r="F49" s="6"/>
    </row>
    <row r="50" spans="2:6" ht="15" customHeight="1" x14ac:dyDescent="0.3">
      <c r="B50" s="70" t="s">
        <v>306</v>
      </c>
      <c r="D50" s="197">
        <f t="shared" si="5"/>
        <v>0</v>
      </c>
      <c r="E50" s="37" t="s">
        <v>293</v>
      </c>
      <c r="F50" s="6"/>
    </row>
    <row r="51" spans="2:6" ht="15" customHeight="1" x14ac:dyDescent="0.3">
      <c r="B51" s="70" t="s">
        <v>307</v>
      </c>
      <c r="D51" s="197">
        <f t="shared" si="5"/>
        <v>0</v>
      </c>
      <c r="E51" s="37" t="s">
        <v>293</v>
      </c>
    </row>
    <row r="52" spans="2:6" ht="15" customHeight="1" x14ac:dyDescent="0.3">
      <c r="B52" s="1" t="s">
        <v>308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 x14ac:dyDescent="0.3">
      <c r="B53" s="70" t="s">
        <v>309</v>
      </c>
      <c r="D53" s="197">
        <f t="shared" ref="D53:D60" si="6">IF(E53="Strongly disagree",0,IF(E53="disagree",1,IF(E53="unclear",2,IF(E53="agree",3,4))))</f>
        <v>0</v>
      </c>
      <c r="E53" s="37" t="s">
        <v>293</v>
      </c>
      <c r="F53" s="6"/>
    </row>
    <row r="54" spans="2:6" ht="15" customHeight="1" x14ac:dyDescent="0.3">
      <c r="B54" s="70" t="s">
        <v>310</v>
      </c>
      <c r="D54" s="197">
        <f t="shared" si="6"/>
        <v>1</v>
      </c>
      <c r="E54" s="37" t="s">
        <v>276</v>
      </c>
      <c r="F54" s="6"/>
    </row>
    <row r="55" spans="2:6" ht="15" customHeight="1" x14ac:dyDescent="0.3">
      <c r="B55" s="70" t="s">
        <v>311</v>
      </c>
      <c r="D55" s="197">
        <f t="shared" si="6"/>
        <v>4</v>
      </c>
      <c r="E55" s="37" t="s">
        <v>259</v>
      </c>
      <c r="F55" s="6"/>
    </row>
    <row r="56" spans="2:6" ht="15" customHeight="1" x14ac:dyDescent="0.3">
      <c r="B56" s="70" t="s">
        <v>312</v>
      </c>
      <c r="D56" s="197">
        <f t="shared" si="6"/>
        <v>0</v>
      </c>
      <c r="E56" s="37" t="s">
        <v>293</v>
      </c>
      <c r="F56" s="6"/>
    </row>
    <row r="57" spans="2:6" ht="15" customHeight="1" x14ac:dyDescent="0.3">
      <c r="B57" s="70" t="s">
        <v>313</v>
      </c>
      <c r="D57" s="197">
        <f t="shared" si="6"/>
        <v>0</v>
      </c>
      <c r="E57" s="37" t="s">
        <v>293</v>
      </c>
      <c r="F57" s="6"/>
    </row>
    <row r="58" spans="2:6" ht="15" customHeight="1" x14ac:dyDescent="0.3">
      <c r="B58" s="70" t="s">
        <v>314</v>
      </c>
      <c r="D58" s="197">
        <f t="shared" si="6"/>
        <v>2</v>
      </c>
      <c r="E58" s="37" t="s">
        <v>274</v>
      </c>
      <c r="F58" s="6"/>
    </row>
    <row r="59" spans="2:6" ht="15" customHeight="1" x14ac:dyDescent="0.3">
      <c r="B59" s="70" t="s">
        <v>315</v>
      </c>
      <c r="D59" s="197">
        <f t="shared" si="6"/>
        <v>4</v>
      </c>
      <c r="E59" s="37" t="s">
        <v>259</v>
      </c>
      <c r="F59" s="6"/>
    </row>
    <row r="60" spans="2:6" ht="15" customHeight="1" x14ac:dyDescent="0.3">
      <c r="B60" s="70" t="s">
        <v>316</v>
      </c>
      <c r="D60" s="197">
        <f t="shared" si="6"/>
        <v>4</v>
      </c>
      <c r="E60" s="37" t="s">
        <v>259</v>
      </c>
      <c r="F60" s="6"/>
    </row>
    <row r="61" spans="2:6" ht="15" customHeight="1" x14ac:dyDescent="0.3">
      <c r="B61" s="1" t="s">
        <v>317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 x14ac:dyDescent="0.3">
      <c r="B62" s="70" t="s">
        <v>318</v>
      </c>
      <c r="D62" s="197">
        <f t="shared" ref="D62:D65" si="7">IF(E62="Strongly disagree",0,IF(E62="disagree",1,IF(E62="unclear",2,IF(E62="agree",3,4))))</f>
        <v>0</v>
      </c>
      <c r="E62" s="37" t="s">
        <v>293</v>
      </c>
    </row>
    <row r="63" spans="2:6" ht="15" customHeight="1" x14ac:dyDescent="0.3">
      <c r="B63" s="70" t="s">
        <v>319</v>
      </c>
      <c r="D63" s="197">
        <f t="shared" si="7"/>
        <v>4</v>
      </c>
      <c r="E63" s="37" t="s">
        <v>259</v>
      </c>
      <c r="F63" s="6"/>
    </row>
    <row r="64" spans="2:6" ht="15" customHeight="1" x14ac:dyDescent="0.3">
      <c r="B64" s="70" t="s">
        <v>320</v>
      </c>
      <c r="D64" s="197">
        <f t="shared" si="7"/>
        <v>3</v>
      </c>
      <c r="E64" s="37" t="s">
        <v>23</v>
      </c>
      <c r="F64" s="5"/>
    </row>
    <row r="65" spans="2:8" ht="15" customHeight="1" x14ac:dyDescent="0.3">
      <c r="B65" s="70" t="s">
        <v>321</v>
      </c>
      <c r="D65" s="197">
        <f t="shared" si="7"/>
        <v>1</v>
      </c>
      <c r="E65" s="37" t="s">
        <v>276</v>
      </c>
    </row>
    <row r="66" spans="2:8" ht="15" customHeight="1" x14ac:dyDescent="0.3">
      <c r="B66" s="70" t="s">
        <v>322</v>
      </c>
      <c r="D66" s="201">
        <f t="array" ref="D66">(1-INDEX(B83:E92,MATCH(E66,B83:B92,0),4))*4</f>
        <v>1.9455782312925169</v>
      </c>
      <c r="E66" s="37" t="s">
        <v>323</v>
      </c>
      <c r="F66" s="70"/>
      <c r="G66" s="70"/>
      <c r="H66" s="70"/>
    </row>
    <row r="67" spans="2:8" ht="15" customHeight="1" x14ac:dyDescent="0.3">
      <c r="B67" s="1" t="s">
        <v>324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 x14ac:dyDescent="0.3">
      <c r="B68" s="70" t="s">
        <v>325</v>
      </c>
      <c r="D68" s="197">
        <f t="shared" ref="D68:D75" si="8">IF(E68="Strongly disagree",0,IF(E68="disagree",1,IF(E68="unclear",2,IF(E68="agree",3,4))))</f>
        <v>4</v>
      </c>
      <c r="E68" s="37" t="s">
        <v>259</v>
      </c>
      <c r="F68" s="70"/>
      <c r="G68" s="70"/>
      <c r="H68" s="70"/>
    </row>
    <row r="69" spans="2:8" ht="15" customHeight="1" x14ac:dyDescent="0.3">
      <c r="B69" s="70" t="s">
        <v>326</v>
      </c>
      <c r="D69" s="197">
        <f t="shared" si="8"/>
        <v>4</v>
      </c>
      <c r="E69" s="37" t="s">
        <v>259</v>
      </c>
      <c r="F69" s="70"/>
      <c r="G69" s="70"/>
      <c r="H69" s="70"/>
    </row>
    <row r="70" spans="2:8" ht="15" customHeight="1" x14ac:dyDescent="0.3">
      <c r="B70" s="70" t="s">
        <v>327</v>
      </c>
      <c r="D70" s="197">
        <f t="shared" si="8"/>
        <v>4</v>
      </c>
      <c r="E70" s="37" t="s">
        <v>259</v>
      </c>
      <c r="F70" s="70"/>
      <c r="G70" s="70"/>
      <c r="H70" s="70"/>
    </row>
    <row r="71" spans="2:8" ht="15" customHeight="1" x14ac:dyDescent="0.3">
      <c r="B71" s="70" t="s">
        <v>328</v>
      </c>
      <c r="D71" s="197">
        <f t="shared" si="8"/>
        <v>4</v>
      </c>
      <c r="E71" s="37" t="s">
        <v>259</v>
      </c>
      <c r="F71" s="70"/>
      <c r="G71" s="70"/>
      <c r="H71" s="70"/>
    </row>
    <row r="72" spans="2:8" ht="15" customHeight="1" x14ac:dyDescent="0.3">
      <c r="B72" s="70" t="s">
        <v>329</v>
      </c>
      <c r="D72" s="197">
        <f t="shared" si="8"/>
        <v>4</v>
      </c>
      <c r="E72" s="37" t="s">
        <v>259</v>
      </c>
      <c r="F72" s="70"/>
      <c r="G72" s="70"/>
      <c r="H72" s="70"/>
    </row>
    <row r="73" spans="2:8" ht="15" customHeight="1" x14ac:dyDescent="0.3">
      <c r="B73" s="70" t="s">
        <v>330</v>
      </c>
      <c r="D73" s="197">
        <f t="shared" si="8"/>
        <v>3</v>
      </c>
      <c r="E73" s="37" t="s">
        <v>23</v>
      </c>
      <c r="F73" s="70"/>
      <c r="G73" s="70"/>
      <c r="H73" s="70"/>
    </row>
    <row r="74" spans="2:8" ht="15" customHeight="1" x14ac:dyDescent="0.3">
      <c r="B74" s="70" t="s">
        <v>331</v>
      </c>
      <c r="D74" s="197">
        <f t="shared" si="8"/>
        <v>4</v>
      </c>
      <c r="E74" s="37" t="s">
        <v>259</v>
      </c>
      <c r="F74" s="70"/>
      <c r="G74" s="70"/>
      <c r="H74" s="70"/>
    </row>
    <row r="75" spans="2:8" ht="15" customHeight="1" x14ac:dyDescent="0.3">
      <c r="B75" s="70" t="s">
        <v>332</v>
      </c>
      <c r="D75" s="197">
        <f t="shared" si="8"/>
        <v>4</v>
      </c>
      <c r="E75" s="37" t="s">
        <v>259</v>
      </c>
      <c r="F75" s="70"/>
      <c r="G75" s="70"/>
      <c r="H75" s="70"/>
    </row>
    <row r="76" spans="2:8" ht="15" customHeight="1" x14ac:dyDescent="0.3">
      <c r="B76" s="70" t="s">
        <v>333</v>
      </c>
      <c r="D76" s="197">
        <f>IF(E76="Strongly disagree",0,IF(E76="disagree",1,IF(E76="non-perishable",2,IF(E76="agree",3,4))))</f>
        <v>3</v>
      </c>
      <c r="E76" s="37" t="s">
        <v>23</v>
      </c>
      <c r="F76" s="70"/>
      <c r="G76" s="70"/>
      <c r="H76" s="70"/>
    </row>
    <row r="77" spans="2:8" ht="15" customHeight="1" x14ac:dyDescent="0.3">
      <c r="B77" s="253" t="s">
        <v>334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 x14ac:dyDescent="0.3">
      <c r="D78" s="6"/>
    </row>
    <row r="79" spans="2:8" ht="15" customHeight="1" x14ac:dyDescent="0.3">
      <c r="B79" s="194" t="s">
        <v>335</v>
      </c>
      <c r="D79" s="190">
        <f>E79*4</f>
        <v>2.5703514739229023</v>
      </c>
      <c r="E79" s="251">
        <f>AVERAGE(AVERAGE(D18:D22)/4,AVERAGE(D24:D28)/4,AVERAGE(D30:D34)/4,D77)</f>
        <v>0.64258786848072558</v>
      </c>
    </row>
    <row r="81" spans="2:5" ht="15" customHeight="1" x14ac:dyDescent="0.3">
      <c r="B81" s="71" t="s">
        <v>336</v>
      </c>
      <c r="C81" s="7"/>
      <c r="D81" s="7"/>
      <c r="E81" s="73"/>
    </row>
    <row r="82" spans="2:5" ht="15" customHeight="1" x14ac:dyDescent="0.3">
      <c r="B82" s="203" t="s">
        <v>337</v>
      </c>
      <c r="C82" s="204"/>
      <c r="D82" s="204"/>
      <c r="E82" s="205"/>
    </row>
    <row r="83" spans="2:5" ht="15" customHeight="1" x14ac:dyDescent="0.3">
      <c r="B83" s="206" t="s">
        <v>338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 x14ac:dyDescent="0.3">
      <c r="B84" s="206" t="str">
        <f t="shared" ref="B84:B92" si="10">C84&amp;", "&amp;D84&amp;"y"</f>
        <v>Information Technology Like, 6.6y</v>
      </c>
      <c r="C84" s="204" t="s">
        <v>339</v>
      </c>
      <c r="D84" s="204">
        <v>6.6</v>
      </c>
      <c r="E84" s="207">
        <f t="shared" si="9"/>
        <v>0.22448979591836735</v>
      </c>
    </row>
    <row r="85" spans="2:5" ht="15" customHeight="1" x14ac:dyDescent="0.3">
      <c r="B85" s="206" t="str">
        <f t="shared" si="10"/>
        <v>Healthcare, 11.4y</v>
      </c>
      <c r="C85" s="204" t="s">
        <v>340</v>
      </c>
      <c r="D85" s="204">
        <v>11.4</v>
      </c>
      <c r="E85" s="207">
        <f t="shared" si="9"/>
        <v>0.38775510204081637</v>
      </c>
    </row>
    <row r="86" spans="2:5" ht="15" customHeight="1" x14ac:dyDescent="0.3">
      <c r="B86" s="206" t="str">
        <f t="shared" si="10"/>
        <v>Consumer Discretionary, 12.4y</v>
      </c>
      <c r="C86" s="204" t="s">
        <v>341</v>
      </c>
      <c r="D86" s="204">
        <v>12.4</v>
      </c>
      <c r="E86" s="207">
        <f t="shared" si="9"/>
        <v>0.42176870748299322</v>
      </c>
    </row>
    <row r="87" spans="2:5" ht="15" customHeight="1" x14ac:dyDescent="0.3">
      <c r="B87" s="206" t="str">
        <f t="shared" si="10"/>
        <v>Consumer Staples, 15.1y</v>
      </c>
      <c r="C87" s="204" t="s">
        <v>342</v>
      </c>
      <c r="D87" s="204">
        <v>15.1</v>
      </c>
      <c r="E87" s="207">
        <f t="shared" si="9"/>
        <v>0.51360544217687076</v>
      </c>
    </row>
    <row r="88" spans="2:5" ht="15" customHeight="1" x14ac:dyDescent="0.3">
      <c r="B88" s="206" t="str">
        <f t="shared" si="10"/>
        <v>Industrials, 15.4y</v>
      </c>
      <c r="C88" s="204" t="s">
        <v>343</v>
      </c>
      <c r="D88" s="204">
        <v>15.4</v>
      </c>
      <c r="E88" s="207">
        <f t="shared" si="9"/>
        <v>0.52380952380952384</v>
      </c>
    </row>
    <row r="89" spans="2:5" ht="15" customHeight="1" x14ac:dyDescent="0.3">
      <c r="B89" s="206" t="str">
        <f t="shared" si="10"/>
        <v>Telecommunication Services, 16.1y</v>
      </c>
      <c r="C89" s="204" t="s">
        <v>344</v>
      </c>
      <c r="D89" s="204">
        <v>16.100000000000001</v>
      </c>
      <c r="E89" s="207">
        <f t="shared" si="9"/>
        <v>0.54761904761904767</v>
      </c>
    </row>
    <row r="90" spans="2:5" ht="15" customHeight="1" x14ac:dyDescent="0.3">
      <c r="B90" s="206" t="str">
        <f t="shared" si="10"/>
        <v>Energy, 17.6y</v>
      </c>
      <c r="C90" s="204" t="s">
        <v>345</v>
      </c>
      <c r="D90" s="204">
        <v>17.600000000000001</v>
      </c>
      <c r="E90" s="207">
        <f t="shared" si="9"/>
        <v>0.59863945578231303</v>
      </c>
    </row>
    <row r="91" spans="2:5" ht="15" customHeight="1" x14ac:dyDescent="0.3">
      <c r="B91" s="206" t="str">
        <f t="shared" si="10"/>
        <v>Materials, 18.6y</v>
      </c>
      <c r="C91" s="204" t="s">
        <v>346</v>
      </c>
      <c r="D91" s="204">
        <v>18.600000000000001</v>
      </c>
      <c r="E91" s="207">
        <f t="shared" si="9"/>
        <v>0.63265306122448983</v>
      </c>
    </row>
    <row r="92" spans="2:5" ht="15" customHeight="1" x14ac:dyDescent="0.3">
      <c r="B92" s="208" t="str">
        <f t="shared" si="10"/>
        <v>Utilities, 29.4y</v>
      </c>
      <c r="C92" s="209" t="s">
        <v>347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2023-01-03T05:53:36Z</dcterms:modified>
  <cp:category/>
  <cp:contentStatus/>
</cp:coreProperties>
</file>