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Model_templates/Listed_template/"/>
    </mc:Choice>
  </mc:AlternateContent>
  <xr:revisionPtr revIDLastSave="0" documentId="13_ncr:1_{1389DA2C-631E-8147-9F35-CC4EBD022B03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E14" i="5"/>
  <c r="E10" i="4"/>
  <c r="D11" i="2"/>
  <c r="C11" i="2"/>
  <c r="C14" i="2" s="1"/>
  <c r="D13" i="4"/>
  <c r="D8" i="4"/>
  <c r="D26" i="2"/>
  <c r="E26" i="2"/>
  <c r="F26" i="2"/>
  <c r="G26" i="2"/>
  <c r="H26" i="2"/>
  <c r="I26" i="2"/>
  <c r="J26" i="2"/>
  <c r="K26" i="2"/>
  <c r="L26" i="2"/>
  <c r="M26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2" i="2"/>
  <c r="C24" i="2"/>
  <c r="C26" i="2" s="1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 s="1"/>
  <c r="E11" i="4" s="1"/>
  <c r="G33" i="2"/>
  <c r="G34" i="2" s="1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H34" i="2"/>
  <c r="I34" i="2"/>
  <c r="J34" i="2"/>
  <c r="K34" i="2"/>
  <c r="L34" i="2"/>
  <c r="M3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E13" i="4" l="1"/>
  <c r="B66" i="4"/>
  <c r="C33" i="2"/>
  <c r="C31" i="2"/>
  <c r="D33" i="2"/>
  <c r="D31" i="2"/>
  <c r="E33" i="2"/>
  <c r="E31" i="2"/>
  <c r="F33" i="2"/>
  <c r="F31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F51" i="3" l="1"/>
  <c r="C34" i="2"/>
  <c r="C39" i="3"/>
  <c r="D51" i="3"/>
  <c r="C32" i="4" s="1"/>
  <c r="D66" i="5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F28" i="4"/>
  <c r="K35" i="2"/>
  <c r="J42" i="2" s="1"/>
  <c r="L46" i="2"/>
  <c r="F15" i="2"/>
  <c r="G15" i="2"/>
  <c r="C71" i="2"/>
  <c r="J15" i="2"/>
  <c r="C28" i="1"/>
  <c r="I28" i="1" s="1"/>
  <c r="H39" i="3"/>
  <c r="C21" i="2"/>
  <c r="I32" i="1"/>
  <c r="I33" i="1" s="1"/>
  <c r="I34" i="1" s="1"/>
  <c r="E19" i="3"/>
  <c r="D19" i="3" s="1"/>
  <c r="C20" i="2"/>
  <c r="E35" i="3"/>
  <c r="D35" i="3" s="1"/>
  <c r="G42" i="2"/>
  <c r="G13" i="2"/>
  <c r="G12" i="2" s="1"/>
  <c r="F13" i="2"/>
  <c r="F47" i="2"/>
  <c r="C75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8" i="2" l="1"/>
  <c r="K44" i="2"/>
  <c r="J41" i="2"/>
  <c r="D3" i="3"/>
  <c r="C27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41" i="2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H42" i="2"/>
  <c r="I10" i="1" l="1"/>
  <c r="D17" i="1" s="1"/>
  <c r="C35" i="2"/>
  <c r="C76" i="2" s="1"/>
  <c r="D20" i="3"/>
  <c r="G24" i="4"/>
  <c r="E38" i="3"/>
  <c r="H38" i="3" s="1"/>
  <c r="I19" i="3"/>
  <c r="H37" i="3"/>
  <c r="E24" i="5" s="1"/>
  <c r="D13" i="5"/>
  <c r="E16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D61" i="2"/>
  <c r="E61" i="2" s="1"/>
  <c r="F61" i="2"/>
  <c r="B62" i="2"/>
  <c r="D68" i="4" l="1"/>
  <c r="D66" i="4"/>
  <c r="E19" i="1"/>
  <c r="E5" i="3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<sst xmlns="http://schemas.openxmlformats.org/spreadsheetml/2006/main" count="425" uniqueCount="353">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</sst>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81" fontId="2" fillId="13" borderId="60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zoomScale="103" workbookViewId="0">
      <selection activeCell="E11" sqref="E11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23" t="str">
        <f>C3&amp;" : "&amp;C4</f>
        <v>6601.HK : CHEERWIN GP</v>
      </c>
      <c r="D2" s="324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25" t="s">
        <v>348</v>
      </c>
      <c r="D3" s="326"/>
      <c r="E3" s="15"/>
      <c r="G3" s="7" t="s">
        <v>2</v>
      </c>
      <c r="I3" s="338" t="s">
        <v>350</v>
      </c>
      <c r="J3" s="339"/>
    </row>
    <row r="4" spans="1:13" ht="15.75" customHeight="1" x14ac:dyDescent="0.15">
      <c r="B4" s="5" t="s">
        <v>3</v>
      </c>
      <c r="C4" s="327" t="s">
        <v>349</v>
      </c>
      <c r="D4" s="328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15">
      <c r="B5" s="5" t="s">
        <v>6</v>
      </c>
      <c r="C5" s="329">
        <v>44931</v>
      </c>
      <c r="D5" s="328"/>
      <c r="E5" s="243" t="str">
        <f ca="1">IF(C5+30&gt;=TODAY(),"Patience Premium","")</f>
        <v>Patience Premium</v>
      </c>
      <c r="G5" s="5" t="s">
        <v>7</v>
      </c>
      <c r="I5" s="340">
        <v>1333330048</v>
      </c>
      <c r="J5" s="341"/>
    </row>
    <row r="6" spans="1:13" ht="15.75" customHeight="1" x14ac:dyDescent="0.15">
      <c r="B6" s="12" t="s">
        <v>8</v>
      </c>
      <c r="C6" s="332">
        <v>45001</v>
      </c>
      <c r="D6" s="333"/>
      <c r="E6" s="243"/>
      <c r="G6" s="274" t="s">
        <v>9</v>
      </c>
      <c r="H6" s="273"/>
      <c r="I6" s="342">
        <f>I4*I5/1000000</f>
        <v>2373.3274854400001</v>
      </c>
      <c r="J6" s="343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15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15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0.7452528914874309</v>
      </c>
      <c r="J10" s="264" t="str">
        <f>IF('Asset Model'!D53/'FCF Model'!C16&lt;0,"Negative EV",'Asset Model'!D53/'FCF Model'!C16)</f>
        <v>Negative EV</v>
      </c>
    </row>
    <row r="11" spans="1:13" ht="15.75" customHeight="1" x14ac:dyDescent="0.15">
      <c r="B11" s="19" t="s">
        <v>17</v>
      </c>
      <c r="C11" s="344">
        <v>4.4999999999999998E-2</v>
      </c>
      <c r="D11" s="345"/>
      <c r="E11" s="13"/>
      <c r="G11" s="5" t="s">
        <v>18</v>
      </c>
      <c r="H11" s="6"/>
      <c r="I11" s="346" t="s">
        <v>351</v>
      </c>
      <c r="J11" s="347"/>
    </row>
    <row r="12" spans="1:13" ht="15.75" customHeight="1" x14ac:dyDescent="0.15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1.1353565801192027</v>
      </c>
      <c r="J12" s="276" t="str">
        <f>IF(I11=Dashboard!J4,J4,I11&amp;"/"&amp;Dashboard!J4)</f>
        <v>CNY/HKD</v>
      </c>
    </row>
    <row r="13" spans="1:13" ht="15.75" customHeight="1" x14ac:dyDescent="0.15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298">
        <v>4.4000358416883142E-2</v>
      </c>
      <c r="J13" s="298">
        <v>0</v>
      </c>
    </row>
    <row r="14" spans="1:13" ht="15.75" customHeight="1" x14ac:dyDescent="0.15"/>
    <row r="15" spans="1:13" ht="15.75" customHeight="1" x14ac:dyDescent="0.15">
      <c r="A15" s="10"/>
      <c r="B15" s="21" t="s">
        <v>25</v>
      </c>
      <c r="C15" s="277" t="s">
        <v>26</v>
      </c>
      <c r="D15" s="278">
        <f>'Asset Model'!D6</f>
        <v>2.0230326562603089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15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15">
      <c r="B17" s="271">
        <f>I4</f>
        <v>1.78</v>
      </c>
      <c r="C17" s="262">
        <f>I9</f>
        <v>22.698584066259723</v>
      </c>
      <c r="D17" s="262">
        <f>I10</f>
        <v>0.7452528914874309</v>
      </c>
      <c r="E17" s="259">
        <f>IF(D$15&lt;=0, 1+(-B17/D$15), B17/D$15-1)</f>
        <v>-0.1201328389377404</v>
      </c>
      <c r="F17" s="259">
        <f ca="1">AVERAGE((1-'Qualitative Analysis'!E7),(1-'Qualitative Analysis'!E14),E17)+IF(C5+30&gt;=TODAY(),20%,0)</f>
        <v>0.22940016479853101</v>
      </c>
      <c r="G17" s="259">
        <f>'FCF Model'!G60</f>
        <v>5.8510265571107247</v>
      </c>
      <c r="H17" s="259">
        <f ca="1">$C$11*(1+F17)</f>
        <v>5.5323007415933899E-2</v>
      </c>
      <c r="I17" s="267">
        <f ca="1">G17-H17</f>
        <v>5.7957035496947906</v>
      </c>
      <c r="J17" s="270">
        <f>$I$13/B17</f>
        <v>2.4719302481395023E-2</v>
      </c>
    </row>
    <row r="18" spans="1:11" ht="15.75" customHeight="1" x14ac:dyDescent="0.15">
      <c r="B18" s="265">
        <f>'FCF Model'!C60</f>
        <v>2.4507281366094018</v>
      </c>
      <c r="C18" s="263">
        <f>'FCF Model'!E60</f>
        <v>31.251718332795811</v>
      </c>
      <c r="D18" s="263">
        <f>'FCF Model'!F60</f>
        <v>1.0260742865493035</v>
      </c>
      <c r="E18" s="258">
        <f>IF(D$15&lt;=0, 1+(-B18/D$15), B18/D$15-1)</f>
        <v>0.21141303825500879</v>
      </c>
      <c r="F18" s="257">
        <f ca="1">AVERAGE((1-'Qualitative Analysis'!E7),(1-'Qualitative Analysis'!E14),E18)+IF(C5+30&gt;=TODAY(),20%,0)</f>
        <v>0.33991545719611405</v>
      </c>
      <c r="G18" s="258">
        <f>'FCF Model'!E67</f>
        <v>9.3499999999999917E-2</v>
      </c>
      <c r="H18" s="258">
        <f ca="1">$C$11*(1+F18)</f>
        <v>6.029619557382513E-2</v>
      </c>
      <c r="I18" s="268">
        <f ca="1">G18-H18</f>
        <v>3.3203804426174786E-2</v>
      </c>
      <c r="J18" s="257">
        <f>$I$13/B18</f>
        <v>1.7953994063885814E-2</v>
      </c>
    </row>
    <row r="19" spans="1:11" ht="15.75" customHeight="1" x14ac:dyDescent="0.15">
      <c r="B19" s="266">
        <v>1.5</v>
      </c>
      <c r="C19" s="264">
        <f>IF(Data!F3&lt;=0,"NNI",B19/((Data!F3*I12)/(I5/Data!C4)))</f>
        <v>19.128020280555944</v>
      </c>
      <c r="D19" s="264">
        <f>B19/(Data!C27*I12*Data!C4/Common_Shares)</f>
        <v>0.62802209956805977</v>
      </c>
      <c r="E19" s="261">
        <f>IF(D$15&lt;=0, 1+(-B19/D$15), B19/D$15-1)</f>
        <v>-0.25853890921719702</v>
      </c>
      <c r="F19" s="260">
        <f ca="1">AVERAGE((1-'Qualitative Analysis'!E7),(1-'Qualitative Analysis'!E14),E19)+IF(C5+30&gt;=TODAY(),20%,0)</f>
        <v>0.18326480803871212</v>
      </c>
      <c r="G19" s="261">
        <f>'FCF Model'!E68</f>
        <v>5.8510265571107247</v>
      </c>
      <c r="H19" s="261">
        <f ca="1">$C$11*(1+F19)</f>
        <v>5.3246916361742037E-2</v>
      </c>
      <c r="I19" s="269">
        <f ca="1">G19-H19</f>
        <v>5.797779640748983</v>
      </c>
      <c r="J19" s="260">
        <f>$I$13/B19</f>
        <v>2.9333572277922094E-2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36</v>
      </c>
      <c r="C22" s="334"/>
      <c r="D22" s="335"/>
      <c r="E22" s="335"/>
      <c r="F22" s="335"/>
      <c r="G22" s="335"/>
      <c r="H22" s="335"/>
      <c r="I22" s="335"/>
      <c r="J22" s="336"/>
      <c r="K22" s="6"/>
    </row>
    <row r="23" spans="1:11" ht="52.5" customHeight="1" x14ac:dyDescent="0.15">
      <c r="A23" s="6"/>
      <c r="B23" s="25" t="s">
        <v>37</v>
      </c>
      <c r="C23" s="348"/>
      <c r="D23" s="302"/>
      <c r="E23" s="302"/>
      <c r="F23" s="302"/>
      <c r="G23" s="348"/>
      <c r="H23" s="348"/>
      <c r="I23" s="302"/>
      <c r="J23" s="302"/>
      <c r="K23" s="6"/>
    </row>
    <row r="24" spans="1:11" ht="52.5" customHeight="1" x14ac:dyDescent="0.15">
      <c r="A24" s="6"/>
      <c r="B24" s="26" t="s">
        <v>38</v>
      </c>
      <c r="C24" s="337"/>
      <c r="D24" s="333"/>
      <c r="E24" s="333"/>
      <c r="F24" s="333"/>
      <c r="G24" s="337"/>
      <c r="H24" s="337"/>
      <c r="I24" s="333"/>
      <c r="J24" s="333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15">
      <c r="B27" s="24" t="s">
        <v>41</v>
      </c>
      <c r="C27" s="330"/>
      <c r="D27" s="331"/>
      <c r="E27" s="330"/>
      <c r="F27" s="331"/>
      <c r="G27" s="351"/>
      <c r="H27" s="352"/>
      <c r="I27" s="311" t="s">
        <v>42</v>
      </c>
      <c r="J27" s="311"/>
      <c r="K27" s="6"/>
    </row>
    <row r="28" spans="1:11" ht="15.75" customHeight="1" x14ac:dyDescent="0.15">
      <c r="B28" s="24" t="s">
        <v>43</v>
      </c>
      <c r="C28" s="310">
        <f>C32/D26</f>
        <v>0</v>
      </c>
      <c r="D28" s="304"/>
      <c r="E28" s="303">
        <f>E32/D26</f>
        <v>0</v>
      </c>
      <c r="F28" s="304"/>
      <c r="G28" s="353">
        <f>G32/D26</f>
        <v>0</v>
      </c>
      <c r="H28" s="354"/>
      <c r="I28" s="305">
        <f>C28+E28+G28</f>
        <v>0</v>
      </c>
      <c r="J28" s="305"/>
      <c r="K28" s="6"/>
    </row>
    <row r="29" spans="1:11" ht="15.75" customHeight="1" x14ac:dyDescent="0.15">
      <c r="B29" s="24" t="s">
        <v>44</v>
      </c>
      <c r="C29" s="301"/>
      <c r="D29" s="302"/>
      <c r="E29" s="301"/>
      <c r="F29" s="302"/>
      <c r="G29" s="340"/>
      <c r="H29" s="341"/>
      <c r="I29" s="322">
        <f>C29+E29+G29</f>
        <v>0</v>
      </c>
      <c r="J29" s="322"/>
      <c r="K29" s="6"/>
    </row>
    <row r="30" spans="1:11" ht="15.75" customHeight="1" x14ac:dyDescent="0.15">
      <c r="B30" s="24" t="s">
        <v>45</v>
      </c>
      <c r="C30" s="321"/>
      <c r="D30" s="302"/>
      <c r="E30" s="321"/>
      <c r="F30" s="302"/>
      <c r="G30" s="306"/>
      <c r="H30" s="307"/>
      <c r="I30" s="355"/>
      <c r="J30" s="355"/>
      <c r="K30" s="6"/>
    </row>
    <row r="31" spans="1:11" ht="15.75" customHeight="1" x14ac:dyDescent="0.15">
      <c r="B31" s="24" t="s">
        <v>46</v>
      </c>
      <c r="C31" s="299">
        <f>C30*$I$5/1000000</f>
        <v>0</v>
      </c>
      <c r="D31" s="300"/>
      <c r="E31" s="299">
        <f>E30*$I$5/1000000</f>
        <v>0</v>
      </c>
      <c r="F31" s="300"/>
      <c r="G31" s="308">
        <f>G30*$I$5/1000000</f>
        <v>0</v>
      </c>
      <c r="H31" s="309"/>
      <c r="I31" s="356"/>
      <c r="J31" s="356"/>
      <c r="K31" s="6"/>
    </row>
    <row r="32" spans="1:11" ht="15.75" customHeight="1" x14ac:dyDescent="0.15">
      <c r="B32" s="2" t="s">
        <v>47</v>
      </c>
      <c r="C32" s="316">
        <f>C29*C30</f>
        <v>0</v>
      </c>
      <c r="D32" s="317"/>
      <c r="E32" s="318">
        <f>E29*E30</f>
        <v>0</v>
      </c>
      <c r="F32" s="319"/>
      <c r="G32" s="349">
        <f>G29*G30</f>
        <v>0</v>
      </c>
      <c r="H32" s="350"/>
      <c r="I32" s="318">
        <f>C32+E32+G32</f>
        <v>0</v>
      </c>
      <c r="J32" s="318"/>
      <c r="K32" s="6"/>
    </row>
    <row r="33" spans="2:11" ht="15.75" customHeight="1" x14ac:dyDescent="0.15">
      <c r="B33" s="1" t="s">
        <v>48</v>
      </c>
      <c r="C33" s="312"/>
      <c r="D33" s="313"/>
      <c r="E33" s="320" t="str">
        <f>IF(C32=0,"-",(C32+E32)/(C29+E29))</f>
        <v>-</v>
      </c>
      <c r="F33" s="304"/>
      <c r="G33" s="235"/>
      <c r="H33" s="235"/>
      <c r="I33" s="320" t="str">
        <f>IF(I32=0,"",I32/I29)</f>
        <v/>
      </c>
      <c r="J33" s="320"/>
      <c r="K33" s="6"/>
    </row>
    <row r="34" spans="2:11" ht="15.75" customHeight="1" x14ac:dyDescent="0.15">
      <c r="B34" s="1" t="s">
        <v>49</v>
      </c>
      <c r="C34" s="314"/>
      <c r="D34" s="315"/>
      <c r="E34" s="299" t="str">
        <f>IF(E33="-","-",E33*$I$5/1000000)</f>
        <v>-</v>
      </c>
      <c r="F34" s="300"/>
      <c r="G34" s="236"/>
      <c r="H34" s="236"/>
      <c r="I34" s="299" t="str">
        <f>IF(I33="","",I33*$I$5/1000000)</f>
        <v/>
      </c>
      <c r="J34" s="299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5">
    <mergeCell ref="G24:J24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1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0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C12" sqref="C12:E12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61527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57</v>
      </c>
      <c r="C11" s="41">
        <f>526389+179001</f>
        <v>705390</v>
      </c>
      <c r="D11" s="41">
        <f>372030+84580</f>
        <v>456610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58</v>
      </c>
      <c r="C12" s="14">
        <f t="shared" ref="C12:M12" si="2">IF(C7="","",C10-C13)</f>
        <v>0.39871532034748752</v>
      </c>
      <c r="D12" s="14">
        <f t="shared" si="2"/>
        <v>0.2682542237658872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59</v>
      </c>
      <c r="C13" s="14">
        <f t="shared" ref="C13:M13" si="3">IF(C14="","",C14/C7)</f>
        <v>4.6370107344910601E-2</v>
      </c>
      <c r="D13" s="14">
        <f t="shared" si="3"/>
        <v>0.16800595010792208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60</v>
      </c>
      <c r="C14" s="31">
        <f t="shared" ref="C14:M14" si="4">IF(C7="","",C7-C9-C11)</f>
        <v>82036</v>
      </c>
      <c r="D14" s="31">
        <f t="shared" si="4"/>
        <v>285972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61</v>
      </c>
      <c r="C15" s="14">
        <f>IF(D14="","",IF(ABS(C14+D14)=ABS(C14)+ABS(D14),IF(C14&lt;0,-1,1)*(C14-D14)/D14,"Turn"))</f>
        <v>-0.71313275425566136</v>
      </c>
      <c r="D15" s="14">
        <f t="shared" ref="D15:M15" si="5">IF(E14="","",IF(ABS(D14+E14)=ABS(D14)+ABS(E14),IF(D14&lt;0,-1,1)*(D14-E14)/E14,"Turn"))</f>
        <v>0.27665501493296907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62</v>
      </c>
      <c r="C16" s="31">
        <f>IF(C14="","",C14*(1-'FCF Model'!$D$17))</f>
        <v>61527</v>
      </c>
      <c r="D16" s="31">
        <f>IF(D14="","",D14*(1-'FCF Model'!$D$17))</f>
        <v>214479</v>
      </c>
      <c r="E16" s="31">
        <f>IF(E14="","",E14*(1-'FCF Model'!$D$17))</f>
        <v>168000.75</v>
      </c>
      <c r="F16" s="31" t="str">
        <f>IF(F14="","",F14*(1-'FCF Model'!$D$17))</f>
        <v/>
      </c>
      <c r="G16" s="31" t="str">
        <f>IF(G14="","",G14*(1-'FCF Model'!$D$17))</f>
        <v/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15">
      <c r="A17" s="9"/>
      <c r="B17" s="57" t="s">
        <v>63</v>
      </c>
      <c r="C17" s="41">
        <v>1613</v>
      </c>
      <c r="D17" s="41">
        <v>2645</v>
      </c>
      <c r="E17" s="41">
        <v>299</v>
      </c>
      <c r="F17" s="41"/>
      <c r="G17" s="41"/>
      <c r="H17" s="41"/>
      <c r="I17" s="41"/>
      <c r="J17" s="41"/>
      <c r="K17" s="41"/>
      <c r="L17" s="41"/>
      <c r="M17" s="41"/>
      <c r="N17" s="6"/>
    </row>
    <row r="18" spans="1:14" ht="15.75" customHeight="1" x14ac:dyDescent="0.15">
      <c r="A18" s="9"/>
      <c r="B18" s="57" t="s">
        <v>64</v>
      </c>
      <c r="C18" s="41">
        <v>92093</v>
      </c>
      <c r="D18" s="41">
        <v>223781</v>
      </c>
      <c r="E18" s="41">
        <v>185164</v>
      </c>
      <c r="F18" s="41"/>
      <c r="G18" s="41"/>
      <c r="H18" s="41"/>
      <c r="I18" s="41"/>
      <c r="J18" s="41"/>
      <c r="K18" s="41"/>
      <c r="L18" s="41"/>
      <c r="M18" s="41"/>
      <c r="N18" s="6"/>
    </row>
    <row r="19" spans="1:14" ht="15.75" customHeight="1" x14ac:dyDescent="0.15">
      <c r="A19" s="9"/>
      <c r="B19" s="57" t="s">
        <v>65</v>
      </c>
      <c r="C19" s="14">
        <f t="shared" ref="C19:M19" si="6">IF(C7="","",C18/C7)</f>
        <v>5.2054735673543955E-2</v>
      </c>
      <c r="D19" s="14">
        <f t="shared" si="6"/>
        <v>0.13146930301253587</v>
      </c>
      <c r="E19" s="14">
        <f t="shared" si="6"/>
        <v>0.13384685001178254</v>
      </c>
      <c r="F19" s="14" t="str">
        <f t="shared" si="6"/>
        <v/>
      </c>
      <c r="G19" s="14" t="str">
        <f t="shared" si="6"/>
        <v/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15">
      <c r="A20" s="9"/>
      <c r="B20" s="57" t="s">
        <v>66</v>
      </c>
      <c r="C20" s="58">
        <f>'Asset Model'!C21</f>
        <v>2838788</v>
      </c>
      <c r="D20" s="41">
        <v>1398268</v>
      </c>
      <c r="E20" s="41">
        <v>1034632</v>
      </c>
      <c r="F20" s="41"/>
      <c r="G20" s="41"/>
      <c r="H20" s="41"/>
      <c r="I20" s="41"/>
      <c r="J20" s="41"/>
      <c r="K20" s="41"/>
      <c r="L20" s="41"/>
      <c r="M20" s="41"/>
      <c r="N20" s="6"/>
    </row>
    <row r="21" spans="1:14" ht="15.75" customHeight="1" x14ac:dyDescent="0.15">
      <c r="A21" s="9"/>
      <c r="B21" s="57" t="s">
        <v>67</v>
      </c>
      <c r="C21" s="58">
        <f>'Asset Model'!H21</f>
        <v>421758</v>
      </c>
      <c r="D21" s="41">
        <v>1352795</v>
      </c>
      <c r="E21" s="41">
        <v>1205068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68</v>
      </c>
      <c r="C22" s="58">
        <f>'Asset Model'!H10+'Asset Model'!H12</f>
        <v>6810</v>
      </c>
      <c r="D22" s="41">
        <v>301783</v>
      </c>
      <c r="E22" s="41">
        <v>3225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295" t="s">
        <v>69</v>
      </c>
      <c r="C23" s="292">
        <f>'Asset Model'!H12</f>
        <v>6810</v>
      </c>
      <c r="D23" s="293">
        <v>1783</v>
      </c>
      <c r="E23" s="293">
        <v>3225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15">
      <c r="A24" s="9"/>
      <c r="B24" s="57" t="s">
        <v>70</v>
      </c>
      <c r="C24" s="58">
        <f>'Asset Model'!H23+'Asset Model'!H24</f>
        <v>12866</v>
      </c>
      <c r="D24" s="41">
        <v>9396</v>
      </c>
      <c r="E24" s="41">
        <v>131</v>
      </c>
      <c r="F24" s="41"/>
      <c r="G24" s="41"/>
      <c r="H24" s="41"/>
      <c r="I24" s="41"/>
      <c r="J24" s="41"/>
      <c r="K24" s="41"/>
      <c r="L24" s="41"/>
      <c r="M24" s="41"/>
      <c r="N24" s="6"/>
    </row>
    <row r="25" spans="1:14" ht="15.75" customHeight="1" x14ac:dyDescent="0.15">
      <c r="A25" s="9"/>
      <c r="B25" s="295" t="s">
        <v>71</v>
      </c>
      <c r="C25" s="294">
        <f>'Asset Model'!H24</f>
        <v>12866</v>
      </c>
      <c r="D25" s="293">
        <v>5096</v>
      </c>
      <c r="E25" s="293">
        <v>6880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15">
      <c r="A26" s="9"/>
      <c r="B26" s="57" t="s">
        <v>72</v>
      </c>
      <c r="C26" s="31">
        <f>IF(C7="","",C22+C24)</f>
        <v>19676</v>
      </c>
      <c r="D26" s="31">
        <f t="shared" ref="D26:M26" si="7">IF(D7="","",D22+D24)</f>
        <v>311179</v>
      </c>
      <c r="E26" s="31">
        <f t="shared" si="7"/>
        <v>3356</v>
      </c>
      <c r="F26" s="31" t="str">
        <f t="shared" si="7"/>
        <v/>
      </c>
      <c r="G26" s="31" t="str">
        <f t="shared" si="7"/>
        <v/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15">
      <c r="A27" s="9"/>
      <c r="B27" s="57" t="s">
        <v>73</v>
      </c>
      <c r="C27" s="58">
        <f>'Asset Model'!D3</f>
        <v>2804928</v>
      </c>
      <c r="D27" s="41">
        <v>250534</v>
      </c>
      <c r="E27" s="41">
        <v>13930</v>
      </c>
      <c r="F27" s="41"/>
      <c r="G27" s="41"/>
      <c r="H27" s="41"/>
      <c r="I27" s="41"/>
      <c r="J27" s="41"/>
      <c r="K27" s="41"/>
      <c r="L27" s="41"/>
      <c r="M27" s="41"/>
      <c r="N27" s="6"/>
    </row>
    <row r="28" spans="1:14" ht="15.75" customHeight="1" x14ac:dyDescent="0.15">
      <c r="A28" s="9"/>
      <c r="B28" s="295" t="s">
        <v>74</v>
      </c>
      <c r="C28" s="294">
        <f>'Asset Model'!C43</f>
        <v>1282</v>
      </c>
      <c r="D28" s="293">
        <v>2853</v>
      </c>
      <c r="E28" s="293">
        <v>696</v>
      </c>
      <c r="F28" s="293"/>
      <c r="G28" s="293"/>
      <c r="H28" s="293"/>
      <c r="I28" s="293"/>
      <c r="J28" s="293"/>
      <c r="K28" s="293"/>
      <c r="L28" s="293"/>
      <c r="M28" s="293"/>
      <c r="N28" s="6"/>
    </row>
    <row r="29" spans="1:14" ht="15.75" customHeight="1" x14ac:dyDescent="0.15">
      <c r="A29" s="9"/>
      <c r="B29" s="57" t="s">
        <v>75</v>
      </c>
      <c r="C29" s="58">
        <f>'Asset Model'!D52</f>
        <v>2198451</v>
      </c>
      <c r="D29" s="41">
        <v>884766</v>
      </c>
      <c r="E29" s="41">
        <v>511035</v>
      </c>
      <c r="F29" s="41"/>
      <c r="G29" s="41"/>
      <c r="H29" s="41"/>
      <c r="I29" s="41"/>
      <c r="J29" s="41"/>
      <c r="K29" s="41"/>
      <c r="L29" s="41"/>
      <c r="M29" s="41"/>
      <c r="N29" s="6"/>
    </row>
    <row r="30" spans="1:14" ht="15.75" customHeight="1" x14ac:dyDescent="0.15">
      <c r="A30" s="9"/>
      <c r="B30" s="57" t="s">
        <v>76</v>
      </c>
      <c r="C30" s="58">
        <f>'Asset Model'!C23+'Asset Model'!C24+'Asset Model'!C27</f>
        <v>195946</v>
      </c>
      <c r="D30" s="41">
        <v>172844</v>
      </c>
      <c r="E30" s="41">
        <v>159191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77</v>
      </c>
      <c r="C31" s="14">
        <f t="shared" ref="C31:M31" si="8">IF(D7="","",(C30-D30)/C30)</f>
        <v>0.1178998295448746</v>
      </c>
      <c r="D31" s="14">
        <f t="shared" si="8"/>
        <v>7.8990303394968875E-2</v>
      </c>
      <c r="E31" s="14" t="str">
        <f t="shared" si="8"/>
        <v/>
      </c>
      <c r="F31" s="14" t="str">
        <f t="shared" si="8"/>
        <v/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15">
      <c r="A32" s="9"/>
      <c r="B32" s="57" t="s">
        <v>78</v>
      </c>
      <c r="C32" s="31">
        <f>IF(D7="","",(C7-D7)*$D$51)</f>
        <v>4402.0971</v>
      </c>
      <c r="D32" s="31">
        <f t="shared" ref="D32:M32" si="9">IF(E7="","",(D7-E7)*$D$51)</f>
        <v>20942.006399999998</v>
      </c>
      <c r="E32" s="31" t="str">
        <f t="shared" si="9"/>
        <v/>
      </c>
      <c r="F32" s="31" t="str">
        <f t="shared" si="9"/>
        <v/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15">
      <c r="A33" s="9"/>
      <c r="B33" s="57" t="s">
        <v>79</v>
      </c>
      <c r="C33" s="31">
        <f t="shared" ref="C33:M33" si="10">IF(D7="","",C30-D30+C32)</f>
        <v>27504.097099999999</v>
      </c>
      <c r="D33" s="31">
        <f t="shared" si="10"/>
        <v>34595.006399999998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80</v>
      </c>
      <c r="C34" s="14">
        <f t="shared" ref="C34:M34" si="11">IF(C33="","",C33/C16)</f>
        <v>0.44702483625075168</v>
      </c>
      <c r="D34" s="14">
        <f t="shared" si="11"/>
        <v>0.16129787251898786</v>
      </c>
      <c r="E34" s="14" t="str">
        <f t="shared" si="11"/>
        <v/>
      </c>
      <c r="F34" s="14" t="str">
        <f t="shared" si="11"/>
        <v/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15">
      <c r="A35" s="9"/>
      <c r="B35" s="59" t="s">
        <v>81</v>
      </c>
      <c r="C35" s="60">
        <f t="shared" ref="C35:M35" si="12">IF(C27="","",C27-C29+C26)</f>
        <v>626153</v>
      </c>
      <c r="D35" s="60">
        <f t="shared" si="12"/>
        <v>-323053</v>
      </c>
      <c r="E35" s="60">
        <f t="shared" si="12"/>
        <v>-493749</v>
      </c>
      <c r="F35" s="60" t="str">
        <f t="shared" si="12"/>
        <v/>
      </c>
      <c r="G35" s="60" t="str">
        <f t="shared" si="12"/>
        <v/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15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15">
      <c r="A37" s="9"/>
      <c r="B37" s="56" t="s">
        <v>83</v>
      </c>
      <c r="C37" s="62">
        <f>IF(C16="","",(C16*$C$4)/(Dashboard!$I$6*1000000))</f>
        <v>2.5924361630436047E-2</v>
      </c>
      <c r="D37" s="62">
        <f>IF(D16="","",(D16*$C$4)/(Dashboard!$I$6*1000000))</f>
        <v>9.0370587841667765E-2</v>
      </c>
      <c r="E37" s="62">
        <f>IF(E16="","",(E16*$C$4)/(Dashboard!$I$6*1000000))</f>
        <v>7.0787007284354483E-2</v>
      </c>
      <c r="F37" s="62" t="str">
        <f>IF(F16="","",(F16*$C$4)/(Dashboard!$I$6*1000000))</f>
        <v/>
      </c>
      <c r="G37" s="62" t="str">
        <f>IF(G16="","",(G16*$C$4)/(Dashboard!$I$6*1000000))</f>
        <v/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15">
      <c r="A38" s="9"/>
      <c r="B38" s="59" t="s">
        <v>84</v>
      </c>
      <c r="C38" s="63">
        <f>IF(C18="","",(C18*$C$4)/(Dashboard!$I$6*1000000))</f>
        <v>3.8803325948473785E-2</v>
      </c>
      <c r="D38" s="63">
        <f>IF(D18="","",(D18*$C$4)/(Dashboard!$I$6*1000000))</f>
        <v>9.4289979521520781E-2</v>
      </c>
      <c r="E38" s="63">
        <f>IF(E18="","",(E18*$C$4)/(Dashboard!$I$6*1000000))</f>
        <v>7.8018731563997273E-2</v>
      </c>
      <c r="F38" s="63" t="str">
        <f>IF(F18="","",(F18*$C$4)/(Dashboard!$I$6*1000000))</f>
        <v/>
      </c>
      <c r="G38" s="63" t="str">
        <f>IF(G18="","",(G18*$C$4)/(Dashboard!$I$6*1000000))</f>
        <v/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15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15">
      <c r="A40" s="9"/>
      <c r="B40" s="56" t="s">
        <v>86</v>
      </c>
      <c r="C40" s="62">
        <f t="shared" ref="C40:M40" si="13">IF(C7="","",C16/C7)</f>
        <v>3.4777580508682952E-2</v>
      </c>
      <c r="D40" s="62">
        <f t="shared" si="13"/>
        <v>0.12600446258094156</v>
      </c>
      <c r="E40" s="62">
        <f t="shared" si="13"/>
        <v>0.12144029718042912</v>
      </c>
      <c r="F40" s="62" t="str">
        <f t="shared" si="13"/>
        <v/>
      </c>
      <c r="G40" s="62" t="str">
        <f t="shared" si="13"/>
        <v/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15">
      <c r="A41" s="9"/>
      <c r="B41" s="57" t="s">
        <v>87</v>
      </c>
      <c r="C41" s="64">
        <f t="shared" ref="C41:L41" si="14">IF(D35="","",C7/D35)</f>
        <v>-5.4763676548430134</v>
      </c>
      <c r="D41" s="64">
        <f t="shared" si="14"/>
        <v>-3.4474074884202297</v>
      </c>
      <c r="E41" s="64" t="str">
        <f t="shared" si="14"/>
        <v/>
      </c>
      <c r="F41" s="64" t="str">
        <f t="shared" si="14"/>
        <v/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15">
      <c r="A42" s="9"/>
      <c r="B42" s="59" t="s">
        <v>88</v>
      </c>
      <c r="C42" s="63">
        <f t="shared" ref="C42:L42" si="15">IF(D35="","",C16/D35)</f>
        <v>-0.19045481701145014</v>
      </c>
      <c r="D42" s="63">
        <f t="shared" si="15"/>
        <v>-0.43438872787590455</v>
      </c>
      <c r="E42" s="63" t="str">
        <f t="shared" si="15"/>
        <v/>
      </c>
      <c r="F42" s="63" t="str">
        <f t="shared" si="15"/>
        <v/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15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90</v>
      </c>
      <c r="C44" s="62">
        <f t="shared" ref="C44:M44" si="16">IF(C35="","",C24/C27)</f>
        <v>4.5869270084651012E-3</v>
      </c>
      <c r="D44" s="62">
        <f t="shared" si="16"/>
        <v>3.7503891687355809E-2</v>
      </c>
      <c r="E44" s="62">
        <f t="shared" si="16"/>
        <v>9.4041636755204591E-3</v>
      </c>
      <c r="F44" s="62" t="str">
        <f t="shared" si="16"/>
        <v/>
      </c>
      <c r="G44" s="62" t="str">
        <f t="shared" si="16"/>
        <v/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15">
      <c r="A45" s="9"/>
      <c r="B45" s="57" t="s">
        <v>91</v>
      </c>
      <c r="C45" s="14">
        <f t="shared" ref="C45:M45" si="17">IF(C35="","",C26/C27)</f>
        <v>7.0147968147488988E-3</v>
      </c>
      <c r="D45" s="14">
        <f t="shared" si="17"/>
        <v>1.2420629535312573</v>
      </c>
      <c r="E45" s="14">
        <f t="shared" si="17"/>
        <v>0.24091888011486001</v>
      </c>
      <c r="F45" s="14" t="str">
        <f t="shared" si="17"/>
        <v/>
      </c>
      <c r="G45" s="14" t="str">
        <f t="shared" si="17"/>
        <v/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15">
      <c r="A46" s="9"/>
      <c r="B46" s="57" t="s">
        <v>92</v>
      </c>
      <c r="C46" s="67">
        <f t="shared" ref="C46:M46" si="18">IF(C35="","",IF(C26&lt;=0,"-",C14/C26))</f>
        <v>4.1693433624720475</v>
      </c>
      <c r="D46" s="67">
        <f t="shared" si="18"/>
        <v>0.91899517640971917</v>
      </c>
      <c r="E46" s="67">
        <f t="shared" si="18"/>
        <v>66.746424314660317</v>
      </c>
      <c r="F46" s="67" t="str">
        <f t="shared" si="18"/>
        <v/>
      </c>
      <c r="G46" s="67" t="str">
        <f t="shared" si="18"/>
        <v/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15">
      <c r="A47" s="9"/>
      <c r="B47" s="57" t="s">
        <v>93</v>
      </c>
      <c r="C47" s="67">
        <f t="shared" ref="C47:M47" si="19">IF(C33="","",IF(C17&lt;=0,"-",C17/C16))</f>
        <v>2.6216132754725566E-2</v>
      </c>
      <c r="D47" s="67">
        <f t="shared" si="19"/>
        <v>1.2332209680201791E-2</v>
      </c>
      <c r="E47" s="67" t="str">
        <f t="shared" si="19"/>
        <v/>
      </c>
      <c r="F47" s="67" t="str">
        <f t="shared" si="19"/>
        <v/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15">
      <c r="A48" s="9"/>
      <c r="B48" s="59" t="s">
        <v>94</v>
      </c>
      <c r="C48" s="68">
        <f t="shared" ref="C48:M48" si="20">IF(C35="","",C20/C21)</f>
        <v>6.7308456508234578</v>
      </c>
      <c r="D48" s="68">
        <f t="shared" si="20"/>
        <v>1.0336141100462377</v>
      </c>
      <c r="E48" s="68">
        <f t="shared" si="20"/>
        <v>0.85856731736300362</v>
      </c>
      <c r="F48" s="68" t="str">
        <f t="shared" si="20"/>
        <v/>
      </c>
      <c r="G48" s="68" t="str">
        <f t="shared" si="20"/>
        <v/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95</v>
      </c>
      <c r="C50" s="69"/>
      <c r="D50" s="69"/>
      <c r="E50" s="69"/>
      <c r="F50" s="69"/>
    </row>
    <row r="51" spans="1:13" ht="15.75" customHeight="1" x14ac:dyDescent="0.15">
      <c r="A51" s="9"/>
      <c r="B51" s="6" t="s">
        <v>96</v>
      </c>
      <c r="C51" s="6"/>
      <c r="D51" s="362">
        <v>6.5699999999999995E-2</v>
      </c>
      <c r="E51" s="363"/>
      <c r="F51" s="6"/>
    </row>
    <row r="52" spans="1:13" ht="15" customHeight="1" x14ac:dyDescent="0.15">
      <c r="A52" s="9"/>
      <c r="B52" s="70" t="s">
        <v>97</v>
      </c>
      <c r="C52" s="6"/>
      <c r="D52" s="357" t="s">
        <v>98</v>
      </c>
      <c r="E52" s="302"/>
      <c r="F52" s="6"/>
    </row>
    <row r="53" spans="1:13" ht="15" customHeight="1" x14ac:dyDescent="0.15">
      <c r="A53" s="9"/>
      <c r="B53" s="70"/>
      <c r="D53" s="24"/>
      <c r="E53" s="24"/>
    </row>
    <row r="54" spans="1:13" ht="15.75" customHeight="1" x14ac:dyDescent="0.15">
      <c r="A54" s="9"/>
      <c r="B54" s="71" t="s">
        <v>99</v>
      </c>
      <c r="C54" s="72"/>
      <c r="D54" s="358">
        <v>5</v>
      </c>
      <c r="E54" s="359"/>
      <c r="F54" s="73"/>
    </row>
    <row r="55" spans="1:13" ht="15.75" customHeight="1" x14ac:dyDescent="0.15">
      <c r="A55" s="9"/>
      <c r="B55" s="74" t="s">
        <v>100</v>
      </c>
      <c r="C55" s="75" t="s">
        <v>101</v>
      </c>
      <c r="D55" s="360" t="s">
        <v>102</v>
      </c>
      <c r="E55" s="361"/>
      <c r="F55" s="76" t="s">
        <v>103</v>
      </c>
    </row>
    <row r="56" spans="1:13" ht="15.75" customHeight="1" x14ac:dyDescent="0.15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15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15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15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15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15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15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15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15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15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15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15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15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15">
      <c r="A69" s="9"/>
      <c r="B69" s="83"/>
      <c r="C69" s="70"/>
      <c r="D69" s="70"/>
      <c r="E69" s="70"/>
      <c r="F69" s="84"/>
    </row>
    <row r="70" spans="1:6" ht="15.75" customHeight="1" x14ac:dyDescent="0.15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15">
      <c r="A71" s="9"/>
      <c r="B71" s="83" t="s">
        <v>110</v>
      </c>
      <c r="C71" s="89">
        <f>C14</f>
        <v>82036</v>
      </c>
      <c r="D71" s="89">
        <f>C71+C56-F68</f>
        <v>82036</v>
      </c>
      <c r="E71" s="70" t="s">
        <v>111</v>
      </c>
      <c r="F71" s="84" t="s">
        <v>112</v>
      </c>
    </row>
    <row r="72" spans="1:6" ht="15.75" customHeight="1" x14ac:dyDescent="0.15">
      <c r="A72" s="9"/>
      <c r="B72" s="83" t="s">
        <v>113</v>
      </c>
      <c r="C72" s="90">
        <f t="shared" ref="C72:D72" si="25">C71/$C$7</f>
        <v>4.6370107344910601E-2</v>
      </c>
      <c r="D72" s="90">
        <f t="shared" si="25"/>
        <v>4.6370107344910601E-2</v>
      </c>
      <c r="E72" s="70" t="s">
        <v>114</v>
      </c>
      <c r="F72" s="84" t="s">
        <v>115</v>
      </c>
    </row>
    <row r="73" spans="1:6" ht="15.75" customHeight="1" x14ac:dyDescent="0.15">
      <c r="A73" s="9"/>
      <c r="B73" s="83" t="s">
        <v>116</v>
      </c>
      <c r="C73" s="89">
        <f>C33</f>
        <v>27504.097099999999</v>
      </c>
      <c r="D73" s="89">
        <f>C73+E67-F68</f>
        <v>27504.097099999999</v>
      </c>
      <c r="E73" s="70" t="s">
        <v>117</v>
      </c>
      <c r="F73" s="84" t="s">
        <v>118</v>
      </c>
    </row>
    <row r="74" spans="1:6" ht="15.75" customHeight="1" x14ac:dyDescent="0.15">
      <c r="A74" s="9"/>
      <c r="B74" s="83" t="s">
        <v>119</v>
      </c>
      <c r="C74" s="89">
        <f>C16</f>
        <v>61527</v>
      </c>
      <c r="D74" s="89">
        <f>C74+C57</f>
        <v>61527</v>
      </c>
      <c r="E74" s="70" t="s">
        <v>120</v>
      </c>
      <c r="F74" s="84" t="s">
        <v>121</v>
      </c>
    </row>
    <row r="75" spans="1:6" ht="15.75" customHeight="1" x14ac:dyDescent="0.15">
      <c r="A75" s="9"/>
      <c r="B75" s="83" t="s">
        <v>122</v>
      </c>
      <c r="C75" s="89">
        <f>F3</f>
        <v>92093</v>
      </c>
      <c r="D75" s="89">
        <f>C75+C56-F68</f>
        <v>92093</v>
      </c>
      <c r="E75" s="70" t="s">
        <v>123</v>
      </c>
      <c r="F75" s="84" t="s">
        <v>121</v>
      </c>
    </row>
    <row r="76" spans="1:6" ht="15.75" customHeight="1" x14ac:dyDescent="0.15">
      <c r="A76" s="9"/>
      <c r="B76" s="91" t="s">
        <v>124</v>
      </c>
      <c r="C76" s="92">
        <f>C35</f>
        <v>626153</v>
      </c>
      <c r="D76" s="92">
        <f>C76+E67</f>
        <v>626153</v>
      </c>
      <c r="E76" s="8" t="s">
        <v>125</v>
      </c>
      <c r="F76" s="93" t="s">
        <v>121</v>
      </c>
    </row>
    <row r="77" spans="1:6" ht="15.75" customHeight="1" x14ac:dyDescent="0.15">
      <c r="A77" s="9"/>
      <c r="B77" s="70"/>
      <c r="C77" s="94"/>
      <c r="D77" s="94"/>
    </row>
    <row r="78" spans="1:6" ht="15.75" customHeight="1" x14ac:dyDescent="0.15">
      <c r="A78" s="9"/>
      <c r="B78" s="70"/>
      <c r="C78" s="94"/>
      <c r="D78" s="94"/>
    </row>
    <row r="79" spans="1:6" ht="15.75" customHeight="1" x14ac:dyDescent="0.15">
      <c r="A79" s="9"/>
      <c r="B79" s="70"/>
      <c r="C79" s="94"/>
      <c r="D79" s="94"/>
    </row>
    <row r="80" spans="1:6" ht="15.75" customHeight="1" x14ac:dyDescent="0.15">
      <c r="A80" s="9"/>
      <c r="B80" s="70"/>
      <c r="C80" s="95"/>
      <c r="D80" s="95"/>
    </row>
    <row r="81" spans="1:4" ht="15.75" customHeight="1" x14ac:dyDescent="0.15">
      <c r="A81" s="9"/>
      <c r="B81" s="70"/>
      <c r="C81" s="94"/>
      <c r="D81" s="94"/>
    </row>
    <row r="82" spans="1:4" ht="15.75" customHeight="1" x14ac:dyDescent="0.15">
      <c r="A82" s="9"/>
      <c r="B82" s="70"/>
      <c r="C82" s="95"/>
      <c r="D82" s="95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5">
    <cfRule type="containsBlanks" dxfId="8" priority="2">
      <formula>LEN(TRIM(C7))=0</formula>
    </cfRule>
  </conditionalFormatting>
  <conditionalFormatting sqref="D40:M42">
    <cfRule type="containsBlanks" dxfId="7" priority="3">
      <formula>LEN(TRIM(D40))=0</formula>
    </cfRule>
  </conditionalFormatting>
  <conditionalFormatting sqref="C37:M38">
    <cfRule type="containsBlanks" dxfId="6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5" t="s">
        <v>126</v>
      </c>
      <c r="C2" s="365"/>
      <c r="D2" s="365"/>
      <c r="E2" s="12"/>
      <c r="F2" s="12"/>
      <c r="G2" s="12"/>
      <c r="H2" s="12"/>
    </row>
    <row r="3" spans="1:9" ht="15" customHeight="1" x14ac:dyDescent="0.15">
      <c r="B3" s="5" t="s">
        <v>127</v>
      </c>
      <c r="C3" s="6"/>
      <c r="D3" s="96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128</v>
      </c>
      <c r="H4" s="6"/>
    </row>
    <row r="5" spans="1:9" ht="15" customHeight="1" x14ac:dyDescent="0.15">
      <c r="B5" s="97" t="s">
        <v>129</v>
      </c>
      <c r="C5" s="6"/>
      <c r="D5" s="98">
        <f>E39-H39-E43</f>
        <v>2375791.2499999995</v>
      </c>
      <c r="E5" s="14">
        <f>1-D5/D3</f>
        <v>0.1529938558137679</v>
      </c>
      <c r="F5" s="6"/>
      <c r="G5" s="99" t="s">
        <v>130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70" t="s">
        <v>131</v>
      </c>
      <c r="D6" s="100">
        <f>(D5*Dashboard!I12*Data!C4)/Dashboard!I5</f>
        <v>2.0230326562603089</v>
      </c>
      <c r="E6" s="101"/>
      <c r="G6" s="99" t="s">
        <v>132</v>
      </c>
      <c r="H6" s="28">
        <f>D6/(Data!C27*Dashboard!I12*Data!C4/Common_Shares)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5" t="s">
        <v>133</v>
      </c>
      <c r="C8" s="365"/>
      <c r="D8" s="365"/>
      <c r="E8" s="8"/>
      <c r="F8" s="12"/>
      <c r="G8" s="12"/>
      <c r="H8" s="12"/>
    </row>
    <row r="9" spans="1:9" ht="15" customHeight="1" x14ac:dyDescent="0.15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15">
      <c r="B10" s="5" t="s">
        <v>139</v>
      </c>
      <c r="C10" s="103">
        <f>631326+1567125</f>
        <v>2198451</v>
      </c>
      <c r="D10" s="104">
        <v>1</v>
      </c>
      <c r="E10" s="31">
        <f>C10*D10</f>
        <v>2198451</v>
      </c>
      <c r="F10" s="6"/>
      <c r="G10" s="5" t="s">
        <v>140</v>
      </c>
      <c r="H10" s="103">
        <v>0</v>
      </c>
      <c r="I10" s="6"/>
    </row>
    <row r="11" spans="1:9" ht="14" x14ac:dyDescent="0.15">
      <c r="B11" s="5" t="s">
        <v>141</v>
      </c>
      <c r="C11" s="103">
        <v>0</v>
      </c>
      <c r="D11" s="104">
        <v>1</v>
      </c>
      <c r="E11" s="31">
        <f t="shared" ref="E11:E17" si="0">C11*D11</f>
        <v>0</v>
      </c>
      <c r="F11" s="6"/>
      <c r="G11" s="5" t="s">
        <v>142</v>
      </c>
      <c r="H11" s="103">
        <v>0</v>
      </c>
      <c r="I11" s="6"/>
    </row>
    <row r="12" spans="1:9" ht="14" x14ac:dyDescent="0.15">
      <c r="B12" s="5" t="s">
        <v>143</v>
      </c>
      <c r="C12" s="103">
        <v>228592</v>
      </c>
      <c r="D12" s="104">
        <v>1</v>
      </c>
      <c r="E12" s="31">
        <f t="shared" si="0"/>
        <v>228592</v>
      </c>
      <c r="F12" s="6"/>
      <c r="G12" s="5" t="s">
        <v>144</v>
      </c>
      <c r="H12" s="103">
        <v>6810</v>
      </c>
      <c r="I12" s="6"/>
    </row>
    <row r="13" spans="1:9" ht="14" x14ac:dyDescent="0.15">
      <c r="B13" s="5" t="s">
        <v>145</v>
      </c>
      <c r="C13" s="103">
        <f>119854+128688</f>
        <v>248542</v>
      </c>
      <c r="D13" s="104">
        <v>0.5</v>
      </c>
      <c r="E13" s="31">
        <f t="shared" si="0"/>
        <v>124271</v>
      </c>
      <c r="F13" s="6"/>
      <c r="G13" s="5" t="s">
        <v>146</v>
      </c>
      <c r="H13" s="103">
        <f>299016+64535+37906</f>
        <v>401457</v>
      </c>
      <c r="I13" s="6"/>
    </row>
    <row r="14" spans="1:9" ht="14" x14ac:dyDescent="0.15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0</v>
      </c>
      <c r="I14" s="6"/>
    </row>
    <row r="15" spans="1:9" ht="14" x14ac:dyDescent="0.15">
      <c r="B15" s="5" t="s">
        <v>149</v>
      </c>
      <c r="C15" s="103">
        <v>217</v>
      </c>
      <c r="D15" s="104">
        <v>0.95</v>
      </c>
      <c r="E15" s="31">
        <f t="shared" si="0"/>
        <v>206.14999999999998</v>
      </c>
      <c r="F15" s="6"/>
      <c r="G15" s="5" t="s">
        <v>150</v>
      </c>
      <c r="H15" s="103">
        <v>13491</v>
      </c>
      <c r="I15" s="6"/>
    </row>
    <row r="16" spans="1:9" ht="14" x14ac:dyDescent="0.15">
      <c r="B16" s="5" t="s">
        <v>151</v>
      </c>
      <c r="C16" s="103">
        <v>162986</v>
      </c>
      <c r="D16" s="104">
        <v>0.3</v>
      </c>
      <c r="E16" s="31">
        <f t="shared" si="0"/>
        <v>48895.799999999996</v>
      </c>
      <c r="F16" s="6"/>
      <c r="G16" s="5" t="s">
        <v>152</v>
      </c>
      <c r="H16" s="103">
        <v>0</v>
      </c>
      <c r="I16" s="6"/>
    </row>
    <row r="17" spans="2:9" ht="14" x14ac:dyDescent="0.15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5" t="s">
        <v>154</v>
      </c>
      <c r="C19" s="106">
        <f>SUM(C10:C12)+C14</f>
        <v>2427043</v>
      </c>
      <c r="D19" s="107">
        <f t="shared" ref="D19:D21" si="1">E19/C19</f>
        <v>1</v>
      </c>
      <c r="E19" s="108">
        <f>SUM(E10:E12)+E14</f>
        <v>2427043</v>
      </c>
      <c r="F19" s="6"/>
      <c r="G19" s="105" t="s">
        <v>155</v>
      </c>
      <c r="H19" s="109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5" t="s">
        <v>156</v>
      </c>
      <c r="C20" s="106">
        <f>C19+C13</f>
        <v>2675585</v>
      </c>
      <c r="D20" s="107">
        <f t="shared" si="1"/>
        <v>0.95355370881508161</v>
      </c>
      <c r="E20" s="31">
        <f>E19+E13</f>
        <v>2551314</v>
      </c>
      <c r="F20" s="6"/>
      <c r="G20" s="105" t="s">
        <v>157</v>
      </c>
      <c r="H20" s="109">
        <f t="shared" si="2"/>
        <v>6.0492367661075779</v>
      </c>
      <c r="I20" s="13"/>
    </row>
    <row r="21" spans="2:9" ht="15" customHeight="1" x14ac:dyDescent="0.15">
      <c r="B21" s="5" t="s">
        <v>158</v>
      </c>
      <c r="C21" s="106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67</v>
      </c>
      <c r="H21" s="106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159</v>
      </c>
      <c r="C23" s="103">
        <f>165650+3388</f>
        <v>169038</v>
      </c>
      <c r="D23" s="104">
        <v>0.3</v>
      </c>
      <c r="E23" s="31">
        <f t="shared" ref="E23:E31" si="3">C23*D23</f>
        <v>50711.4</v>
      </c>
      <c r="F23" s="6"/>
      <c r="G23" s="5" t="s">
        <v>160</v>
      </c>
      <c r="H23" s="103">
        <v>0</v>
      </c>
      <c r="I23" s="6"/>
    </row>
    <row r="24" spans="2:9" ht="15" customHeight="1" x14ac:dyDescent="0.15">
      <c r="B24" s="5" t="s">
        <v>161</v>
      </c>
      <c r="C24" s="103">
        <v>26908</v>
      </c>
      <c r="D24" s="104">
        <v>0.5</v>
      </c>
      <c r="E24" s="31">
        <f t="shared" si="3"/>
        <v>13454</v>
      </c>
      <c r="F24" s="6"/>
      <c r="G24" s="5" t="s">
        <v>162</v>
      </c>
      <c r="H24" s="103">
        <v>12866</v>
      </c>
      <c r="I24" s="6"/>
    </row>
    <row r="25" spans="2:9" ht="15" customHeight="1" x14ac:dyDescent="0.15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15">
      <c r="B26" s="5" t="s">
        <v>165</v>
      </c>
      <c r="C26" s="103">
        <v>135224</v>
      </c>
      <c r="D26" s="104">
        <v>0.6</v>
      </c>
      <c r="E26" s="31">
        <f t="shared" si="3"/>
        <v>81134.399999999994</v>
      </c>
      <c r="F26" s="6"/>
      <c r="G26" s="5" t="s">
        <v>166</v>
      </c>
      <c r="H26" s="103">
        <v>0</v>
      </c>
      <c r="I26" s="6"/>
    </row>
    <row r="27" spans="2:9" ht="14" x14ac:dyDescent="0.15">
      <c r="B27" s="5" t="s">
        <v>167</v>
      </c>
      <c r="C27" s="103">
        <v>0</v>
      </c>
      <c r="D27" s="104">
        <v>0.1</v>
      </c>
      <c r="E27" s="31">
        <f t="shared" si="3"/>
        <v>0</v>
      </c>
      <c r="F27" s="6"/>
      <c r="G27" s="5" t="s">
        <v>168</v>
      </c>
      <c r="H27" s="103">
        <v>2656</v>
      </c>
      <c r="I27" s="6"/>
    </row>
    <row r="28" spans="2:9" ht="14" x14ac:dyDescent="0.15">
      <c r="B28" s="5" t="s">
        <v>169</v>
      </c>
      <c r="C28" s="103">
        <v>0</v>
      </c>
      <c r="D28" s="104">
        <v>0.8</v>
      </c>
      <c r="E28" s="31">
        <f t="shared" si="3"/>
        <v>0</v>
      </c>
      <c r="F28" s="6"/>
      <c r="G28" s="5" t="s">
        <v>170</v>
      </c>
      <c r="H28" s="103">
        <v>0</v>
      </c>
      <c r="I28" s="6"/>
    </row>
    <row r="29" spans="2:9" ht="14" x14ac:dyDescent="0.15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172</v>
      </c>
      <c r="C30" s="103">
        <v>72250</v>
      </c>
      <c r="D30" s="104">
        <v>0.95</v>
      </c>
      <c r="E30" s="31">
        <f t="shared" si="3"/>
        <v>68637.5</v>
      </c>
      <c r="F30" s="6"/>
    </row>
    <row r="31" spans="2:9" ht="14" x14ac:dyDescent="0.15">
      <c r="B31" s="5" t="s">
        <v>173</v>
      </c>
      <c r="C31" s="103">
        <v>0</v>
      </c>
      <c r="D31" s="104">
        <v>0.2</v>
      </c>
      <c r="E31" s="31">
        <f t="shared" si="3"/>
        <v>0</v>
      </c>
      <c r="F31" s="6"/>
    </row>
    <row r="32" spans="2:9" ht="15" customHeight="1" x14ac:dyDescent="0.15">
      <c r="B32" s="5" t="s">
        <v>174</v>
      </c>
      <c r="C32" s="103">
        <v>0</v>
      </c>
      <c r="D32" s="104">
        <v>1</v>
      </c>
      <c r="E32" s="31">
        <v>0</v>
      </c>
      <c r="F32" s="6"/>
    </row>
    <row r="33" spans="2:9" ht="15" customHeight="1" x14ac:dyDescent="0.15">
      <c r="B33" s="5" t="s">
        <v>175</v>
      </c>
      <c r="C33" s="103">
        <v>0</v>
      </c>
      <c r="D33" s="104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176</v>
      </c>
      <c r="C35" s="106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6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5" t="s">
        <v>178</v>
      </c>
      <c r="C37" s="106">
        <f>C19+(C28+C29)+C32</f>
        <v>2427043</v>
      </c>
      <c r="D37" s="107">
        <f>E37/C37</f>
        <v>1</v>
      </c>
      <c r="E37" s="108">
        <f>E19+(E28+E29)+E32</f>
        <v>2427043</v>
      </c>
      <c r="F37" s="6"/>
      <c r="G37" s="105" t="s">
        <v>179</v>
      </c>
      <c r="H37" s="109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5" t="s">
        <v>180</v>
      </c>
      <c r="C38" s="110">
        <f>C37+C31</f>
        <v>2427043</v>
      </c>
      <c r="D38" s="107">
        <f>E38/C38</f>
        <v>1</v>
      </c>
      <c r="E38" s="31">
        <f>E37+E31</f>
        <v>2427043</v>
      </c>
      <c r="F38" s="6"/>
      <c r="G38" s="105" t="s">
        <v>181</v>
      </c>
      <c r="H38" s="109">
        <f>E38/$H$39</f>
        <v>5.5503178741309913</v>
      </c>
      <c r="I38" s="6"/>
    </row>
    <row r="39" spans="2:9" ht="15" customHeight="1" x14ac:dyDescent="0.15">
      <c r="B39" s="5" t="s">
        <v>182</v>
      </c>
      <c r="C39" s="110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183</v>
      </c>
      <c r="H39" s="110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184</v>
      </c>
      <c r="C41" s="22"/>
      <c r="D41" s="69"/>
    </row>
    <row r="42" spans="2:9" ht="14" x14ac:dyDescent="0.15">
      <c r="B42" s="111" t="s">
        <v>185</v>
      </c>
      <c r="C42" s="5"/>
      <c r="D42" s="366"/>
      <c r="E42" s="366"/>
    </row>
    <row r="43" spans="2:9" ht="14" x14ac:dyDescent="0.15">
      <c r="B43" s="5" t="s">
        <v>186</v>
      </c>
      <c r="C43" s="112">
        <v>1282</v>
      </c>
      <c r="D43" s="65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187</v>
      </c>
      <c r="C45" s="5"/>
      <c r="D45" s="366"/>
      <c r="E45" s="366"/>
      <c r="F45" s="70"/>
    </row>
    <row r="46" spans="2:9" ht="14" x14ac:dyDescent="0.15">
      <c r="B46" s="97" t="s">
        <v>188</v>
      </c>
      <c r="C46" s="6"/>
      <c r="D46" s="367">
        <v>0</v>
      </c>
      <c r="E46" s="302"/>
      <c r="F46" s="5"/>
    </row>
    <row r="47" spans="2:9" ht="14" x14ac:dyDescent="0.15">
      <c r="B47" s="97" t="s">
        <v>189</v>
      </c>
      <c r="C47" s="6"/>
      <c r="D47" s="367">
        <v>0</v>
      </c>
      <c r="E47" s="302"/>
      <c r="F47" s="6" t="s">
        <v>190</v>
      </c>
    </row>
    <row r="48" spans="2:9" ht="12.75" customHeight="1" x14ac:dyDescent="0.15">
      <c r="B48" s="70" t="s">
        <v>191</v>
      </c>
      <c r="C48" s="6"/>
      <c r="D48" s="322">
        <f>Data!C26+D46+D47</f>
        <v>19676</v>
      </c>
      <c r="E48" s="364"/>
      <c r="F48" s="5" t="s">
        <v>192</v>
      </c>
    </row>
    <row r="49" spans="2:7" ht="15" customHeight="1" x14ac:dyDescent="0.15">
      <c r="D49" s="6"/>
      <c r="E49" s="6"/>
    </row>
    <row r="50" spans="2:7" ht="14" x14ac:dyDescent="0.15">
      <c r="B50" s="5" t="s">
        <v>193</v>
      </c>
      <c r="C50" s="5"/>
      <c r="D50" s="366"/>
      <c r="E50" s="366"/>
      <c r="F50" s="19" t="s">
        <v>194</v>
      </c>
    </row>
    <row r="51" spans="2:7" ht="15" customHeight="1" x14ac:dyDescent="0.15">
      <c r="B51" s="70" t="s">
        <v>195</v>
      </c>
      <c r="C51" s="6"/>
      <c r="D51" s="368">
        <f>E11+E12+E25+E28+E29</f>
        <v>228592</v>
      </c>
      <c r="E51" s="369"/>
      <c r="F51" s="14">
        <f>1-(E12+E25+E28+E29)/(C12+C25+C28+C29)</f>
        <v>0</v>
      </c>
      <c r="G51" s="6"/>
    </row>
    <row r="52" spans="2:7" ht="14" x14ac:dyDescent="0.15">
      <c r="B52" s="70" t="s">
        <v>139</v>
      </c>
      <c r="C52" s="6"/>
      <c r="D52" s="322">
        <f>C10+C32</f>
        <v>2198451</v>
      </c>
      <c r="E52" s="364"/>
      <c r="F52" s="6"/>
    </row>
    <row r="53" spans="2:7" ht="14" x14ac:dyDescent="0.15">
      <c r="B53" s="70" t="s">
        <v>196</v>
      </c>
      <c r="C53" s="6"/>
      <c r="D53" s="322">
        <f>((Dashboard!I6*1000)+D48+E43-(C12+C25+C28+C29)-D52)</f>
        <v>-32757.51456000004</v>
      </c>
      <c r="E53" s="364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E69" sqref="E6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3" t="s">
        <v>198</v>
      </c>
      <c r="C3" s="114">
        <v>4</v>
      </c>
      <c r="D3" s="115" t="str">
        <f>IF(E7="","next 1 years","next 3 years")</f>
        <v>next 3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6" t="s">
        <v>61</v>
      </c>
      <c r="C4" s="117" t="str">
        <f>Data!J4</f>
        <v>NA</v>
      </c>
      <c r="D4" s="118">
        <f>IF(E7="",D16/C16-1,(G16/C16)^(1/4)-1)</f>
        <v>-6.7328443943265648E-2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15">
      <c r="B5" s="120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15">
      <c r="B7" s="5" t="s">
        <v>203</v>
      </c>
      <c r="C7" s="49">
        <f>Data!C8</f>
        <v>3.9363653347464389E-2</v>
      </c>
      <c r="D7" s="122">
        <f>D8/C8-1</f>
        <v>-0.19795840617876193</v>
      </c>
      <c r="E7" s="123">
        <v>0.1</v>
      </c>
      <c r="F7" s="223"/>
      <c r="G7" s="211"/>
      <c r="H7" s="6"/>
      <c r="I7" s="124"/>
    </row>
    <row r="8" spans="1:13" ht="15.75" customHeight="1" x14ac:dyDescent="0.15">
      <c r="B8" s="5" t="s">
        <v>204</v>
      </c>
      <c r="C8" s="125">
        <f>Data!C7</f>
        <v>1769157</v>
      </c>
      <c r="D8" s="229">
        <f>1021635/0.72</f>
        <v>1418937.5</v>
      </c>
      <c r="E8" s="221">
        <f>IF(E7="","",D8*(1+E7))</f>
        <v>1560831.2500000002</v>
      </c>
      <c r="F8" s="224"/>
      <c r="G8" s="211"/>
      <c r="H8" s="6"/>
      <c r="I8" s="124"/>
      <c r="M8" s="95"/>
    </row>
    <row r="9" spans="1:13" ht="15.75" customHeight="1" x14ac:dyDescent="0.15">
      <c r="B9" s="8" t="s">
        <v>205</v>
      </c>
      <c r="C9" s="60">
        <f>Data!C9</f>
        <v>981731</v>
      </c>
      <c r="D9" s="230">
        <f>D8*(1-D10)</f>
        <v>797017.19374999998</v>
      </c>
      <c r="E9" s="222">
        <f>IF(E7="","",E8*(1-E10))</f>
        <v>876718.91312500008</v>
      </c>
      <c r="F9" s="224"/>
      <c r="G9" s="211"/>
      <c r="H9" s="6"/>
      <c r="I9" s="225"/>
      <c r="M9" s="1"/>
    </row>
    <row r="10" spans="1:13" ht="15.75" customHeight="1" x14ac:dyDescent="0.15">
      <c r="B10" s="127" t="s">
        <v>206</v>
      </c>
      <c r="C10" s="49">
        <f>Data!C10</f>
        <v>0.44508542769239812</v>
      </c>
      <c r="D10" s="128">
        <v>0.43830000000000002</v>
      </c>
      <c r="E10" s="128">
        <f>D10</f>
        <v>0.43830000000000002</v>
      </c>
      <c r="F10" s="226"/>
      <c r="G10" s="211"/>
      <c r="H10" s="6"/>
      <c r="I10" s="124"/>
    </row>
    <row r="11" spans="1:13" ht="15.75" customHeight="1" x14ac:dyDescent="0.15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7"/>
      <c r="G11" s="211"/>
      <c r="H11" s="6"/>
      <c r="I11" s="124"/>
    </row>
    <row r="12" spans="1:13" ht="15.75" customHeight="1" x14ac:dyDescent="0.15">
      <c r="B12" s="127" t="s">
        <v>58</v>
      </c>
      <c r="C12" s="52">
        <f>Data!C12</f>
        <v>0.39871532034748752</v>
      </c>
      <c r="D12" s="129">
        <f>D13/D8</f>
        <v>0.43861692287362902</v>
      </c>
      <c r="E12" s="130">
        <v>0.4</v>
      </c>
      <c r="F12" s="226"/>
      <c r="G12" s="211"/>
      <c r="H12" s="6"/>
      <c r="I12" s="124"/>
    </row>
    <row r="13" spans="1:13" ht="15.75" customHeight="1" x14ac:dyDescent="0.15">
      <c r="B13" s="8" t="s">
        <v>208</v>
      </c>
      <c r="C13" s="131">
        <f>Data!C11</f>
        <v>705390</v>
      </c>
      <c r="D13" s="132">
        <f>(238532+72653)*2</f>
        <v>622370</v>
      </c>
      <c r="E13" s="126">
        <f>IF(E7="","",E8*E12)</f>
        <v>624332.50000000012</v>
      </c>
      <c r="F13" s="227"/>
      <c r="G13" s="211"/>
      <c r="H13" s="6"/>
      <c r="I13" s="124"/>
    </row>
    <row r="14" spans="1:13" ht="15.75" customHeight="1" x14ac:dyDescent="0.15">
      <c r="B14" s="127" t="s">
        <v>209</v>
      </c>
      <c r="C14" s="18">
        <f>Data!C13</f>
        <v>4.6370107344910601E-2</v>
      </c>
      <c r="D14" s="122">
        <f>D16/D8</f>
        <v>-3.1692287362901941E-4</v>
      </c>
      <c r="E14" s="122">
        <f>IF(E7="","",E16/E8)</f>
        <v>3.8300000000000022E-2</v>
      </c>
      <c r="F14" s="228"/>
      <c r="G14" s="211"/>
      <c r="H14" s="6"/>
      <c r="I14" s="124"/>
      <c r="M14" s="95"/>
    </row>
    <row r="15" spans="1:13" ht="15.75" customHeight="1" x14ac:dyDescent="0.15">
      <c r="B15" s="133" t="s">
        <v>210</v>
      </c>
      <c r="C15" s="14">
        <f>Data!C15</f>
        <v>-0.71313275425566136</v>
      </c>
      <c r="D15" s="129" t="str">
        <f>IF(ABS(C16+D16)=ABS(C16)+ABS(D16),IF(D16&lt;0,-1,1)*(D16-C16)/C16,"Turn")</f>
        <v>Turn</v>
      </c>
      <c r="E15" s="129" t="str">
        <f>IF(E7="","",IF(ABS(D16+E16)=ABS(D16)+ABS(E16),IF(E16&lt;0,-1,1)*(E16-D16)/D16,"Turn"))</f>
        <v>Turn</v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15">
      <c r="B16" s="5" t="s">
        <v>60</v>
      </c>
      <c r="C16" s="31">
        <f>IF(Data!D52="No",Data!C71,Data!D71)</f>
        <v>82036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7"/>
      <c r="K16" s="94"/>
      <c r="M16" s="94"/>
    </row>
    <row r="17" spans="2:13" ht="15.75" customHeight="1" x14ac:dyDescent="0.15">
      <c r="B17" s="20" t="s">
        <v>212</v>
      </c>
      <c r="C17" s="212"/>
      <c r="D17" s="138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15">
      <c r="B18" s="5" t="s">
        <v>119</v>
      </c>
      <c r="C18" s="139">
        <f>IF(Data!D52="No",Data!C74,Data!D74)</f>
        <v>61527</v>
      </c>
      <c r="D18" s="140">
        <f>IF(D16&lt;=0,D16,D16*(1-D17))</f>
        <v>-449.69374999997672</v>
      </c>
      <c r="E18" s="140">
        <f>IF(E7="","",IF(E16&lt;=0,E16,E16*(1-E17)))</f>
        <v>44834.877656250028</v>
      </c>
      <c r="F18" s="140" t="str">
        <f>IF(F15="","",IF(F16&lt;=0,F16,F16*(1-F17)))</f>
        <v/>
      </c>
      <c r="G18" s="139">
        <f>G16*(1-G17)</f>
        <v>46556.536958250028</v>
      </c>
      <c r="H18" s="6"/>
      <c r="I18" s="141"/>
      <c r="K18" s="94"/>
      <c r="M18" s="94"/>
    </row>
    <row r="19" spans="2:13" ht="15.75" hidden="1" customHeight="1" x14ac:dyDescent="0.15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15">
      <c r="B20" s="17" t="s">
        <v>80</v>
      </c>
      <c r="C20" s="14">
        <f t="shared" ref="C20" si="1">C21/C18</f>
        <v>0.44702483625075168</v>
      </c>
      <c r="D20" s="32">
        <f>IF(E7="",G20,D21/D18)</f>
        <v>-61.161839807650033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2">
      <c r="B21" s="143" t="s">
        <v>116</v>
      </c>
      <c r="C21" s="144">
        <f>IF(Data!D52="No",Data!C73,Data!D73)</f>
        <v>27504.097099999999</v>
      </c>
      <c r="D21" s="145">
        <f>C21</f>
        <v>27504.097099999999</v>
      </c>
      <c r="E21" s="146">
        <f>IF(E7="","",IF(F15="",E18*G20,E20*E18))</f>
        <v>18413.468470588246</v>
      </c>
      <c r="F21" s="232"/>
      <c r="G21" s="232"/>
      <c r="H21" s="147"/>
      <c r="I21" s="94"/>
      <c r="M21" s="94"/>
    </row>
    <row r="22" spans="2:13" ht="15.75" customHeight="1" thickTop="1" x14ac:dyDescent="0.15">
      <c r="B22" s="8" t="s">
        <v>216</v>
      </c>
      <c r="C22" s="234"/>
      <c r="D22" s="148">
        <f>IF(D18="","",IF(E7="",D18*(1-D20),D18-D21))</f>
        <v>-27953.790849999976</v>
      </c>
      <c r="E22" s="148">
        <f>IF(E7="","",E18-E21)</f>
        <v>26421.409185661782</v>
      </c>
      <c r="F22" s="148" t="str">
        <f>IF(F15="","",F18*(1-F20))</f>
        <v/>
      </c>
      <c r="G22" s="149">
        <f>G18*(1-G20)</f>
        <v>27435.991298391196</v>
      </c>
      <c r="H22" s="147"/>
      <c r="I22" s="94"/>
      <c r="M22" s="94"/>
    </row>
    <row r="23" spans="2:13" ht="15.75" customHeight="1" x14ac:dyDescent="0.15">
      <c r="B23" s="17" t="s">
        <v>217</v>
      </c>
      <c r="C23" s="216"/>
      <c r="D23" s="214">
        <f>Dashboard!D12</f>
        <v>9.35E-2</v>
      </c>
      <c r="E23" s="122">
        <f>IF(E7="","",D23)</f>
        <v>9.35E-2</v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2">
      <c r="B24" s="150" t="s">
        <v>218</v>
      </c>
      <c r="C24" s="215"/>
      <c r="D24" s="217">
        <f>IF(D16="","",1+D23)</f>
        <v>1.0934999999999999</v>
      </c>
      <c r="E24" s="151">
        <f>IF(E7="","",(1+D23)*(1+E23))</f>
        <v>1.1957422499999999</v>
      </c>
      <c r="F24" s="151" t="str">
        <f>IF(F15="","",(1+D23)*(1+E23)*(1+F23))</f>
        <v/>
      </c>
      <c r="G24" s="152">
        <f>IF(F15="",IF(E7="",D24,E24),F24)*(1+G23)</f>
        <v>1.3075441503749998</v>
      </c>
      <c r="H24" s="101"/>
      <c r="I24" s="95"/>
      <c r="M24" s="95"/>
    </row>
    <row r="25" spans="2:13" ht="15.75" customHeight="1" thickTop="1" x14ac:dyDescent="0.15">
      <c r="B25" s="8" t="s">
        <v>219</v>
      </c>
      <c r="C25" s="213"/>
      <c r="D25" s="218">
        <f>IF(D16="","",D22/D24)</f>
        <v>-25563.594741655215</v>
      </c>
      <c r="E25" s="233">
        <f>IF(E7="","",E22/E24)</f>
        <v>22096.241213908586</v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15">
      <c r="F26" s="6"/>
      <c r="G26" s="220"/>
    </row>
    <row r="27" spans="2:13" ht="15.75" customHeight="1" x14ac:dyDescent="0.15">
      <c r="B27" s="27" t="s">
        <v>220</v>
      </c>
      <c r="C27" s="124" t="s">
        <v>221</v>
      </c>
      <c r="G27" s="6"/>
    </row>
    <row r="28" spans="2:13" ht="15.75" customHeight="1" x14ac:dyDescent="0.15">
      <c r="B28" s="3" t="s">
        <v>222</v>
      </c>
      <c r="C28" s="153">
        <f>IF(OR(E15="",F15=""),D16,E16)*(1+G15)</f>
        <v>-466.9619899999758</v>
      </c>
      <c r="E28" s="6" t="s">
        <v>223</v>
      </c>
      <c r="F28" s="14">
        <f>G23</f>
        <v>9.35E-2</v>
      </c>
      <c r="G28" s="6"/>
    </row>
    <row r="29" spans="2:13" ht="15.75" customHeight="1" thickBot="1" x14ac:dyDescent="0.2">
      <c r="B29" s="3" t="s">
        <v>224</v>
      </c>
      <c r="C29" s="154">
        <f>(C28*(1-G17))/F28</f>
        <v>-3745.6844117645119</v>
      </c>
      <c r="G29" s="6"/>
    </row>
    <row r="30" spans="2:13" ht="15.75" customHeight="1" thickTop="1" x14ac:dyDescent="0.15">
      <c r="B30" s="97" t="s">
        <v>225</v>
      </c>
      <c r="C30" s="153">
        <f>C29/(IF(OR(E15="",F15=""),D24,E24)*(1+G23))</f>
        <v>-3132.5182427605214</v>
      </c>
      <c r="G30" s="6"/>
    </row>
    <row r="31" spans="2:13" ht="15.75" customHeight="1" x14ac:dyDescent="0.15">
      <c r="B31" s="97" t="s">
        <v>226</v>
      </c>
      <c r="C31" s="153">
        <f>IF(OR(E15="",F15=""),D18*0.5/D24,D25+E25)</f>
        <v>-205.62128486510139</v>
      </c>
    </row>
    <row r="32" spans="2:13" ht="15.75" customHeight="1" x14ac:dyDescent="0.15">
      <c r="B32" s="97" t="s">
        <v>227</v>
      </c>
      <c r="C32" s="153">
        <f>'Asset Model'!D51</f>
        <v>228592</v>
      </c>
    </row>
    <row r="33" spans="2:13" ht="15.75" customHeight="1" x14ac:dyDescent="0.15">
      <c r="B33" s="97" t="s">
        <v>228</v>
      </c>
      <c r="C33" s="153">
        <f>Data!C29</f>
        <v>2198451</v>
      </c>
    </row>
    <row r="34" spans="2:13" ht="15.75" customHeight="1" x14ac:dyDescent="0.15">
      <c r="B34" s="70" t="s">
        <v>229</v>
      </c>
      <c r="C34" s="153">
        <f>'Asset Model'!D48</f>
        <v>19676</v>
      </c>
    </row>
    <row r="35" spans="2:13" ht="15.75" customHeight="1" thickBot="1" x14ac:dyDescent="0.2">
      <c r="B35" s="155" t="s">
        <v>230</v>
      </c>
      <c r="C35" s="153">
        <f>'Asset Model'!E43</f>
        <v>1282</v>
      </c>
      <c r="E35" s="3" t="s">
        <v>231</v>
      </c>
      <c r="F35" s="286">
        <f>C32+C33-C34-C35</f>
        <v>2406085</v>
      </c>
    </row>
    <row r="36" spans="2:13" ht="15.75" customHeight="1" thickTop="1" x14ac:dyDescent="0.15">
      <c r="B36" s="5" t="s">
        <v>232</v>
      </c>
      <c r="C36" s="156">
        <f>C30+C31+F35</f>
        <v>2402746.8604723746</v>
      </c>
      <c r="D36" s="157" t="str">
        <f>Dashboard!I11</f>
        <v>CNY</v>
      </c>
      <c r="E36" s="6"/>
    </row>
    <row r="37" spans="2:13" ht="15.75" customHeight="1" x14ac:dyDescent="0.15">
      <c r="B37" s="5" t="s">
        <v>233</v>
      </c>
      <c r="C37" s="158">
        <f>C36*Data!C4/Common_Shares*Exchange_Rate</f>
        <v>2.0459858851077706</v>
      </c>
      <c r="D37" s="66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234</v>
      </c>
      <c r="C39" s="159"/>
      <c r="D39" s="24"/>
      <c r="E39" s="160"/>
      <c r="F39" s="161"/>
    </row>
    <row r="40" spans="2:13" ht="15.75" customHeight="1" x14ac:dyDescent="0.15">
      <c r="B40" s="3" t="s">
        <v>222</v>
      </c>
      <c r="C40" s="153">
        <f>G16</f>
        <v>62075.382611000037</v>
      </c>
      <c r="D40" s="24"/>
      <c r="E40" s="160"/>
      <c r="F40" s="161"/>
    </row>
    <row r="41" spans="2:13" ht="15.75" customHeight="1" thickBot="1" x14ac:dyDescent="0.2">
      <c r="B41" s="70" t="s">
        <v>224</v>
      </c>
      <c r="C41" s="154">
        <f>G22/(G23-G15)</f>
        <v>497930.87655882386</v>
      </c>
      <c r="D41" s="162"/>
      <c r="E41" s="6" t="s">
        <v>223</v>
      </c>
      <c r="F41" s="14">
        <f>G18/C41</f>
        <v>9.35E-2</v>
      </c>
      <c r="G41" s="6"/>
      <c r="M41" s="1"/>
    </row>
    <row r="42" spans="2:13" ht="15.75" customHeight="1" thickTop="1" x14ac:dyDescent="0.15">
      <c r="B42" s="97" t="s">
        <v>235</v>
      </c>
      <c r="C42" s="153">
        <f>C41/G24</f>
        <v>380813.81528571615</v>
      </c>
      <c r="D42" s="163"/>
      <c r="F42" s="6"/>
      <c r="G42" s="6"/>
      <c r="I42" s="370"/>
      <c r="J42" s="370"/>
      <c r="K42" s="370"/>
      <c r="L42" s="164"/>
      <c r="M42" s="165"/>
    </row>
    <row r="43" spans="2:13" ht="15.75" customHeight="1" thickBot="1" x14ac:dyDescent="0.2">
      <c r="B43" s="97" t="s">
        <v>236</v>
      </c>
      <c r="C43" s="153">
        <f>SUM(D25:F25)</f>
        <v>-3467.353527746629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15">
      <c r="B44" s="5" t="s">
        <v>232</v>
      </c>
      <c r="C44" s="156">
        <f>C43+C42+F35</f>
        <v>2783431.4617579696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15">
      <c r="B45" s="5" t="s">
        <v>233</v>
      </c>
      <c r="C45" s="158">
        <f>C44*Data!C4/Common_Shares*Exchange_Rate</f>
        <v>2.3701462591036737</v>
      </c>
      <c r="D45" s="66" t="str">
        <f>Dashboard!J4</f>
        <v>HKD</v>
      </c>
      <c r="E45" s="160"/>
      <c r="F45" s="161"/>
      <c r="G45" s="6"/>
    </row>
    <row r="46" spans="2:13" ht="15.75" customHeight="1" x14ac:dyDescent="0.15">
      <c r="C46" s="6"/>
      <c r="D46" s="6"/>
      <c r="F46" s="6"/>
      <c r="I46" s="70"/>
      <c r="J46" s="167"/>
    </row>
    <row r="47" spans="2:13" ht="15.75" customHeight="1" x14ac:dyDescent="0.15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15">
      <c r="C48" s="6"/>
      <c r="D48" s="6"/>
      <c r="E48" s="171">
        <f>G18/F41</f>
        <v>497930.8765588238</v>
      </c>
      <c r="F48" s="172"/>
      <c r="I48" s="173"/>
    </row>
    <row r="49" spans="1:12" ht="15.75" customHeight="1" x14ac:dyDescent="0.15">
      <c r="B49" s="3" t="s">
        <v>242</v>
      </c>
      <c r="C49" s="174">
        <f>1/D49</f>
        <v>10.695187165775401</v>
      </c>
      <c r="D49" s="14">
        <f>F41</f>
        <v>9.35E-2</v>
      </c>
      <c r="E49" s="175">
        <f t="dataTable" ref="E49:E54" dt2D="0" dtr="0" r1="F41" ca="1"/>
        <v>497930.8765588238</v>
      </c>
      <c r="F49" s="176">
        <f>(E49/G24+C43+(C32+C33-C34-C35))*Data!C$4/Common_Shares*Exchange_Rate</f>
        <v>2.3701462591036737</v>
      </c>
      <c r="G49" s="177">
        <f>IF(Data!F$3&lt;=0,"NNI",F49/((Data!F$3*Exchange_Rate)/(Common_Shares/Data!C$4)))</f>
        <v>30.224137141345917</v>
      </c>
      <c r="I49" s="124" t="s">
        <v>243</v>
      </c>
    </row>
    <row r="50" spans="1:12" ht="15.75" customHeight="1" x14ac:dyDescent="0.15">
      <c r="C50" s="178">
        <f>1/D50</f>
        <v>11.79245283018868</v>
      </c>
      <c r="D50" s="14">
        <f>D49-((D$49-D$54)/5)</f>
        <v>8.48E-2</v>
      </c>
      <c r="E50" s="179">
        <v>549015.76601709938</v>
      </c>
      <c r="F50" s="176">
        <f>(E50/G24+C43+(C32+C33-C34-C35))*Data!C$4/Common_Shares*Exchange_Rate</f>
        <v>2.4034145668807545</v>
      </c>
      <c r="G50" s="178">
        <f>IF(Data!F$3&lt;=0,"NNI",F50/((Data!F$3*Exchange_Rate)/(Common_Shares/Data!C$4)))</f>
        <v>30.648375051919103</v>
      </c>
      <c r="I50" s="124"/>
    </row>
    <row r="51" spans="1:12" ht="15.75" customHeight="1" x14ac:dyDescent="0.15">
      <c r="C51" s="178">
        <f>1/D51</f>
        <v>13.140604467805518</v>
      </c>
      <c r="D51" s="14">
        <f>D50-((D$49-D$54)/5)</f>
        <v>7.6100000000000001E-2</v>
      </c>
      <c r="E51" s="179">
        <v>656836.01803400146</v>
      </c>
      <c r="F51" s="176">
        <f>(E51/G24+C43+(C32+C33-C34-C35))*Data!C$4/Common_Shares*Exchange_Rate</f>
        <v>2.4736309726856547</v>
      </c>
      <c r="G51" s="178">
        <f>IF(Data!F$3&lt;=0,"NNI",F51/((Data!F$3*Exchange_Rate)/(Common_Shares/Data!C$4)))</f>
        <v>31.543775608095022</v>
      </c>
      <c r="I51" s="124"/>
    </row>
    <row r="52" spans="1:12" ht="15.75" customHeight="1" x14ac:dyDescent="0.15">
      <c r="C52" s="178">
        <f t="shared" ref="C52:C53" si="2">1/D52</f>
        <v>14.836795252225519</v>
      </c>
      <c r="D52" s="14">
        <f>D51-((D$49-D$54)/5)</f>
        <v>6.7400000000000002E-2</v>
      </c>
      <c r="E52" s="179">
        <v>797856.74798207462</v>
      </c>
      <c r="F52" s="176">
        <f>(E52/G24+C43+(C32+C33-C34-C35))*Data!C$4/Common_Shares*Exchange_Rate</f>
        <v>2.5654687175963686</v>
      </c>
      <c r="G52" s="178">
        <f>IF(Data!F$3&lt;=0,"NNI",F52/((Data!F$3*Exchange_Rate)/(Common_Shares/Data!C$4)))</f>
        <v>32.714891772876797</v>
      </c>
      <c r="I52" s="124" t="s">
        <v>244</v>
      </c>
    </row>
    <row r="53" spans="1:12" ht="15.75" customHeight="1" x14ac:dyDescent="0.15">
      <c r="C53" s="178">
        <f t="shared" si="2"/>
        <v>17.035775127768314</v>
      </c>
      <c r="D53" s="14">
        <f>D52-((D$49-D$54)/5)</f>
        <v>5.8700000000000002E-2</v>
      </c>
      <c r="E53" s="179">
        <v>901029.15708510135</v>
      </c>
      <c r="F53" s="176">
        <f>(E53/G24+C43+(C32+C33-C34-C35))*Data!C$4/Common_Shares*Exchange_Rate</f>
        <v>2.6326582818009823</v>
      </c>
      <c r="G53" s="178">
        <f>IF(Data!F$3&lt;=0,"NNI",F53/((Data!F$3*Exchange_Rate)/(Common_Shares/Data!C$4)))</f>
        <v>33.571694004041838</v>
      </c>
      <c r="I53" s="124"/>
    </row>
    <row r="54" spans="1:12" ht="15.75" customHeight="1" x14ac:dyDescent="0.15">
      <c r="B54" s="3" t="s">
        <v>245</v>
      </c>
      <c r="C54" s="180">
        <f>1/D54</f>
        <v>20</v>
      </c>
      <c r="D54" s="138">
        <v>0.05</v>
      </c>
      <c r="E54" s="181">
        <v>931130.7391650005</v>
      </c>
      <c r="F54" s="182">
        <f>(E54/G24+C43+(C32+C33-C34-C35))*Data!C$4/Common_Shares*Exchange_Rate</f>
        <v>2.6522615090533201</v>
      </c>
      <c r="G54" s="180">
        <f>IF(Data!F$3&lt;=0,"NNI",F54/((Data!F$3*Exchange_Rate)/(Common_Shares/Data!C$4)))</f>
        <v>33.821674623006551</v>
      </c>
      <c r="I54" s="12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15">
      <c r="A57" s="6"/>
      <c r="B57" s="111" t="s">
        <v>246</v>
      </c>
      <c r="C57" s="185">
        <f>C37</f>
        <v>2.0459858851077706</v>
      </c>
      <c r="D57" s="24" t="str">
        <f>IF(C57&lt;E57,"&lt;",IF(C57=E57,"=","&gt;"))</f>
        <v>&lt;</v>
      </c>
      <c r="E57" s="186">
        <f>F54</f>
        <v>2.6522615090533201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15">
      <c r="C59" s="323" t="s">
        <v>247</v>
      </c>
      <c r="D59" s="371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15">
      <c r="B60" s="6" t="s">
        <v>249</v>
      </c>
      <c r="C60" s="187">
        <f>MIN(C57,E57)+(ABS(C57-E57)*'Qualitative Analysis'!E79)</f>
        <v>2.4507281366094018</v>
      </c>
      <c r="D60" s="238" t="str">
        <f>D45</f>
        <v>HKD</v>
      </c>
      <c r="E60" s="239">
        <f>IF(Data!F3&lt;=0,"NNI",C60/((Data!F3*Exchange_Rate)/(Common_Shares/Data!C4)))</f>
        <v>31.251718332795811</v>
      </c>
      <c r="F60" s="239">
        <f>C60/(Data!C27*Exchange_Rate*Data!C4/Common_Shares)</f>
        <v>1.0260742865493035</v>
      </c>
      <c r="G60" s="246">
        <f>IRR(C64:G64)</f>
        <v>5.8510265571107247</v>
      </c>
      <c r="H60" s="6"/>
      <c r="I60" s="124" t="s">
        <v>250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15">
      <c r="B63" s="297" t="s">
        <v>352</v>
      </c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15">
      <c r="C64" s="176">
        <f>D66</f>
        <v>0</v>
      </c>
      <c r="D64" s="176">
        <f>D22/(Dashboard!I5/Data!C4)</f>
        <v>-2.0965394796232762E-2</v>
      </c>
      <c r="E64" s="176">
        <f>IF(E7="",I64,E22)/(Dashboard!I5/Data!C4)</f>
        <v>1.9816105716130822E-2</v>
      </c>
      <c r="F64" s="240">
        <f>IF(E7="","",IF(F15="",I64,F22)/(Dashboard!I5/Data!C4))</f>
        <v>0.84828294669939008</v>
      </c>
      <c r="G64" s="241" t="str">
        <f>IF(AND(E7="",F15=""),"",IF(F15="","",I64/(Dashboard!I5/Data!C4)))</f>
        <v/>
      </c>
      <c r="H64" s="6"/>
      <c r="I64" s="280">
        <f>(C60*Dashboard!I5/Data!C4-F35-C43)*G24</f>
        <v>1131041.1420402792</v>
      </c>
    </row>
    <row r="65" spans="2:5" ht="15.75" hidden="1" customHeight="1" x14ac:dyDescent="0.15">
      <c r="E65" s="252">
        <f>IRR(C64:G64)</f>
        <v>5.8510265571107247</v>
      </c>
    </row>
    <row r="66" spans="2:5" ht="15.75" customHeight="1" x14ac:dyDescent="0.15">
      <c r="B66" s="284">
        <f>Dashboard!B17</f>
        <v>1.78</v>
      </c>
      <c r="C66" s="372">
        <f>F35/(Dashboard!I5/Data!C4)</f>
        <v>1.8045681964560361</v>
      </c>
      <c r="D66" s="282">
        <f>IF((-B66+C66)&gt;0,0,-B66+C66)</f>
        <v>0</v>
      </c>
      <c r="E66" s="259">
        <f t="dataTable" ref="E66:E68" dt2D="0" dtr="0" r1="C64" ca="1"/>
        <v>5.8510265571107247</v>
      </c>
    </row>
    <row r="67" spans="2:5" ht="15.75" customHeight="1" x14ac:dyDescent="0.15">
      <c r="B67" s="256">
        <f>Dashboard!B18</f>
        <v>2.4507281366094018</v>
      </c>
      <c r="C67" s="373"/>
      <c r="D67" s="281">
        <f>IF((-B67+C66)&gt;0,0,-B67+C66)</f>
        <v>-0.64615994015336575</v>
      </c>
      <c r="E67" s="258">
        <v>9.3499999999999917E-2</v>
      </c>
    </row>
    <row r="68" spans="2:5" ht="15.75" customHeight="1" x14ac:dyDescent="0.15">
      <c r="B68" s="285">
        <f>Dashboard!B19</f>
        <v>1.5</v>
      </c>
      <c r="C68" s="374"/>
      <c r="D68" s="283">
        <f>IF((-B68+C66)&gt;0,0,-B68+C66)</f>
        <v>0</v>
      </c>
      <c r="E68" s="261">
        <v>5.8510265571107247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5" priority="11">
      <formula>LEN(TRIM(C28))=0</formula>
    </cfRule>
  </conditionalFormatting>
  <conditionalFormatting sqref="C30">
    <cfRule type="containsBlanks" dxfId="4" priority="10">
      <formula>LEN(TRIM(C30))=0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abSelected="1" workbookViewId="0">
      <selection activeCell="E14" sqref="E14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256</v>
      </c>
      <c r="C2" s="191"/>
      <c r="D2" s="12"/>
      <c r="E2" s="12"/>
    </row>
    <row r="3" spans="1:5" ht="14" x14ac:dyDescent="0.15">
      <c r="B3" s="192" t="s">
        <v>257</v>
      </c>
      <c r="C3" s="193"/>
      <c r="D3" s="6"/>
      <c r="E3" s="6"/>
    </row>
    <row r="4" spans="1:5" ht="14" x14ac:dyDescent="0.15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15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15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15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15">
      <c r="B8" s="193"/>
      <c r="C8" s="193"/>
      <c r="E8" s="6"/>
    </row>
    <row r="9" spans="1:5" ht="14" x14ac:dyDescent="0.15">
      <c r="B9" s="196" t="s">
        <v>263</v>
      </c>
      <c r="C9" s="70"/>
      <c r="D9" s="44"/>
      <c r="E9" s="24"/>
    </row>
    <row r="10" spans="1:5" ht="14" x14ac:dyDescent="0.15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15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15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15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15">
      <c r="B14" s="194" t="s">
        <v>268</v>
      </c>
      <c r="D14" s="197"/>
      <c r="E14" s="195">
        <f>SUM(D10:D13)/16</f>
        <v>0.875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269</v>
      </c>
      <c r="C16" s="21"/>
      <c r="D16" s="21"/>
      <c r="E16" s="12"/>
    </row>
    <row r="17" spans="2:6" ht="15" customHeight="1" x14ac:dyDescent="0.15">
      <c r="B17" s="196" t="s">
        <v>270</v>
      </c>
      <c r="C17" s="189"/>
      <c r="E17" s="6"/>
    </row>
    <row r="18" spans="2:6" ht="15" customHeight="1" x14ac:dyDescent="0.15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15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15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15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15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15">
      <c r="B23" s="196" t="s">
        <v>278</v>
      </c>
      <c r="D23" s="44"/>
      <c r="E23" s="24"/>
    </row>
    <row r="24" spans="2:6" ht="15" customHeight="1" x14ac:dyDescent="0.15">
      <c r="B24" s="70" t="s">
        <v>279</v>
      </c>
      <c r="D24" s="197">
        <f>IF(E24="Strongly disagree",0,IF(E24="disagree",1,IF(E24="unclear",2,IF(E24="agree",3,4))))</f>
        <v>4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15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15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15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15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15">
      <c r="B29" s="196" t="s">
        <v>284</v>
      </c>
      <c r="D29" s="44"/>
      <c r="E29" s="24"/>
    </row>
    <row r="30" spans="2:6" ht="15" customHeight="1" x14ac:dyDescent="0.15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15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15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15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15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15">
      <c r="B35" s="196" t="s">
        <v>290</v>
      </c>
      <c r="D35" s="44"/>
      <c r="E35" s="24"/>
    </row>
    <row r="36" spans="2:6" ht="15" customHeight="1" x14ac:dyDescent="0.15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15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15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15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15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15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15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15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15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15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15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15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15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15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15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15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15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15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15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15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15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15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15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15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15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15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15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15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15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15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15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15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15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15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15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15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15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15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15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15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15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15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15">
      <c r="D78" s="6"/>
    </row>
    <row r="79" spans="2:8" ht="15" customHeight="1" x14ac:dyDescent="0.15">
      <c r="B79" s="194" t="s">
        <v>335</v>
      </c>
      <c r="D79" s="190">
        <f>E79*4</f>
        <v>2.6703514739229028</v>
      </c>
      <c r="E79" s="251">
        <f>AVERAGE(AVERAGE(D18:D22)/4,AVERAGE(D24:D28)/4,AVERAGE(D30:D34)/4,D77)</f>
        <v>0.66758786848072571</v>
      </c>
    </row>
    <row r="81" spans="2:5" ht="15" customHeight="1" x14ac:dyDescent="0.15">
      <c r="B81" s="71" t="s">
        <v>336</v>
      </c>
      <c r="C81" s="7"/>
      <c r="D81" s="7"/>
      <c r="E81" s="73"/>
    </row>
    <row r="82" spans="2:5" ht="15" customHeight="1" x14ac:dyDescent="0.15">
      <c r="B82" s="203" t="s">
        <v>337</v>
      </c>
      <c r="C82" s="204"/>
      <c r="D82" s="204"/>
      <c r="E82" s="205"/>
    </row>
    <row r="83" spans="2:5" ht="15" customHeight="1" x14ac:dyDescent="0.15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15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15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15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15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15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15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15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15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15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2023-01-05T15:04:21Z</dcterms:modified>
  <cp:category/>
  <cp:contentStatus/>
</cp:coreProperties>
</file>