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Desktop\"/>
    </mc:Choice>
  </mc:AlternateContent>
  <xr:revisionPtr revIDLastSave="0" documentId="13_ncr:1_{88F93215-4849-46D5-A1B7-1D304E5571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H16" i="1" l="1"/>
  <c r="I18" i="1" s="1"/>
  <c r="D7" i="1"/>
  <c r="C7" i="1"/>
  <c r="D43" i="2"/>
  <c r="E43" i="2"/>
  <c r="F43" i="2"/>
  <c r="G43" i="2"/>
  <c r="H43" i="2"/>
  <c r="I43" i="2"/>
  <c r="J43" i="2"/>
  <c r="K43" i="2"/>
  <c r="L43" i="2"/>
  <c r="M43" i="2"/>
  <c r="D44" i="2"/>
  <c r="E44" i="2"/>
  <c r="F44" i="2"/>
  <c r="G44" i="2"/>
  <c r="H44" i="2"/>
  <c r="I44" i="2"/>
  <c r="J44" i="2"/>
  <c r="K44" i="2"/>
  <c r="L44" i="2"/>
  <c r="M44" i="2"/>
  <c r="C44" i="2"/>
  <c r="C43" i="2"/>
  <c r="F16" i="1"/>
  <c r="H46" i="3"/>
  <c r="H32" i="3"/>
  <c r="D4" i="3"/>
  <c r="H3" i="3" s="1"/>
  <c r="C19" i="3"/>
  <c r="E19" i="3" s="1"/>
  <c r="C40" i="3"/>
  <c r="C29" i="3"/>
  <c r="C33" i="3"/>
  <c r="C38" i="3"/>
  <c r="H11" i="3"/>
  <c r="H15" i="3" s="1"/>
  <c r="E31" i="3"/>
  <c r="E16" i="3"/>
  <c r="E20" i="3"/>
  <c r="C17" i="3"/>
  <c r="C14" i="3"/>
  <c r="C24" i="3" s="1"/>
  <c r="I16" i="1" l="1"/>
  <c r="I17" i="1"/>
  <c r="C44" i="3"/>
  <c r="C25" i="3"/>
  <c r="C45" i="3" l="1"/>
  <c r="E12" i="3"/>
  <c r="B21" i="1"/>
  <c r="D71" i="5" l="1"/>
  <c r="E35" i="3" l="1"/>
  <c r="D16" i="5"/>
  <c r="D18" i="5"/>
  <c r="D19" i="5"/>
  <c r="D17" i="5"/>
  <c r="D20" i="5" l="1"/>
  <c r="E20" i="5" s="1"/>
  <c r="E21" i="5" s="1"/>
  <c r="C14" i="2"/>
  <c r="D27" i="2"/>
  <c r="E27" i="2"/>
  <c r="F27" i="2"/>
  <c r="G27" i="2"/>
  <c r="H27" i="2"/>
  <c r="I27" i="2"/>
  <c r="J27" i="2"/>
  <c r="K27" i="2"/>
  <c r="L27" i="2"/>
  <c r="M27" i="2"/>
  <c r="E11" i="3"/>
  <c r="M6" i="2"/>
  <c r="L6" i="2"/>
  <c r="K6" i="2"/>
  <c r="J6" i="2"/>
  <c r="I6" i="2"/>
  <c r="H6" i="2"/>
  <c r="G6" i="2"/>
  <c r="F6" i="2"/>
  <c r="E6" i="2"/>
  <c r="D6" i="2"/>
  <c r="C6" i="2"/>
  <c r="C23" i="2"/>
  <c r="C25" i="2"/>
  <c r="C26" i="2"/>
  <c r="C24" i="2"/>
  <c r="B16" i="1"/>
  <c r="D44" i="5"/>
  <c r="D45" i="5"/>
  <c r="D46" i="5"/>
  <c r="D47" i="5"/>
  <c r="D48" i="5"/>
  <c r="G11" i="4"/>
  <c r="J12" i="1"/>
  <c r="E5" i="1"/>
  <c r="E4" i="2"/>
  <c r="E5" i="4"/>
  <c r="E6" i="4" s="1"/>
  <c r="E8" i="4" s="1"/>
  <c r="G34" i="2"/>
  <c r="G35" i="2" s="1"/>
  <c r="H34" i="2"/>
  <c r="I34" i="2"/>
  <c r="J34" i="2"/>
  <c r="K34" i="2"/>
  <c r="L34" i="2"/>
  <c r="M3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E33" i="2"/>
  <c r="D33" i="2"/>
  <c r="C33" i="2"/>
  <c r="H35" i="2"/>
  <c r="I35" i="2"/>
  <c r="J35" i="2"/>
  <c r="K35" i="2"/>
  <c r="L35" i="2"/>
  <c r="M35" i="2"/>
  <c r="C8" i="2"/>
  <c r="C10" i="2"/>
  <c r="F3" i="4"/>
  <c r="E3" i="4"/>
  <c r="F20" i="4"/>
  <c r="F17" i="4"/>
  <c r="F14" i="4"/>
  <c r="D35" i="4"/>
  <c r="D34" i="4"/>
  <c r="M15" i="2"/>
  <c r="J3" i="2" a="1"/>
  <c r="J3" i="2" s="1"/>
  <c r="C31" i="2"/>
  <c r="M36" i="2"/>
  <c r="D10" i="5"/>
  <c r="D5" i="5"/>
  <c r="D6" i="5"/>
  <c r="D4" i="5"/>
  <c r="B44" i="4" l="1"/>
  <c r="D59" i="3"/>
  <c r="C27" i="2"/>
  <c r="D55" i="3" s="1"/>
  <c r="D26" i="4" s="1"/>
  <c r="E10" i="4"/>
  <c r="C34" i="2"/>
  <c r="C32" i="2"/>
  <c r="D34" i="2"/>
  <c r="D32" i="2"/>
  <c r="E34" i="2"/>
  <c r="E32" i="2"/>
  <c r="F34" i="2"/>
  <c r="F32" i="2"/>
  <c r="C13" i="2"/>
  <c r="C12" i="2" s="1"/>
  <c r="C16" i="2"/>
  <c r="E97" i="5"/>
  <c r="B97" i="5"/>
  <c r="E96" i="5"/>
  <c r="B96" i="5"/>
  <c r="E95" i="5"/>
  <c r="B95" i="5"/>
  <c r="E94" i="5"/>
  <c r="B94" i="5"/>
  <c r="E93" i="5"/>
  <c r="B93" i="5"/>
  <c r="E92" i="5"/>
  <c r="B92" i="5"/>
  <c r="E91" i="5"/>
  <c r="B91" i="5"/>
  <c r="E90" i="5"/>
  <c r="B90" i="5"/>
  <c r="E89" i="5"/>
  <c r="B89" i="5"/>
  <c r="E88" i="5"/>
  <c r="D81" i="5"/>
  <c r="D80" i="5"/>
  <c r="D79" i="5"/>
  <c r="D78" i="5"/>
  <c r="D77" i="5"/>
  <c r="D76" i="5"/>
  <c r="D75" i="5"/>
  <c r="D74" i="5"/>
  <c r="D70" i="5"/>
  <c r="D69" i="5"/>
  <c r="D68" i="5"/>
  <c r="D67" i="5"/>
  <c r="D65" i="5"/>
  <c r="D64" i="5"/>
  <c r="D63" i="5"/>
  <c r="D62" i="5"/>
  <c r="D61" i="5"/>
  <c r="D60" i="5"/>
  <c r="D59" i="5"/>
  <c r="D58" i="5"/>
  <c r="D56" i="5"/>
  <c r="D55" i="5"/>
  <c r="D54" i="5"/>
  <c r="D53" i="5"/>
  <c r="D52" i="5"/>
  <c r="D51" i="5"/>
  <c r="D49" i="5"/>
  <c r="D43" i="5" s="1"/>
  <c r="D41" i="5"/>
  <c r="D40" i="5"/>
  <c r="D39" i="5"/>
  <c r="D38" i="5"/>
  <c r="D37" i="5"/>
  <c r="D35" i="5"/>
  <c r="D34" i="5"/>
  <c r="D33" i="5"/>
  <c r="D32" i="5"/>
  <c r="D29" i="5"/>
  <c r="D28" i="5"/>
  <c r="D27" i="5"/>
  <c r="D26" i="5"/>
  <c r="D42" i="4"/>
  <c r="D57" i="4" s="1"/>
  <c r="D41" i="4"/>
  <c r="G14" i="4"/>
  <c r="E14" i="4"/>
  <c r="C5" i="4"/>
  <c r="D5" i="4" s="1"/>
  <c r="B3" i="4"/>
  <c r="C30" i="2"/>
  <c r="D24" i="4" s="1"/>
  <c r="H21" i="1" s="1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9" i="2"/>
  <c r="D58" i="2"/>
  <c r="E58" i="2" s="1"/>
  <c r="M49" i="2"/>
  <c r="L49" i="2"/>
  <c r="K49" i="2"/>
  <c r="J49" i="2"/>
  <c r="I49" i="2"/>
  <c r="G49" i="2"/>
  <c r="M17" i="2"/>
  <c r="M39" i="2"/>
  <c r="H49" i="2"/>
  <c r="M50" i="2"/>
  <c r="C29" i="2"/>
  <c r="L36" i="2"/>
  <c r="J36" i="2"/>
  <c r="I36" i="2"/>
  <c r="H36" i="2"/>
  <c r="G36" i="2"/>
  <c r="F36" i="2"/>
  <c r="E36" i="2"/>
  <c r="D36" i="2"/>
  <c r="M20" i="2"/>
  <c r="L20" i="2"/>
  <c r="K20" i="2"/>
  <c r="J20" i="2"/>
  <c r="I20" i="2"/>
  <c r="H20" i="2"/>
  <c r="G20" i="2"/>
  <c r="F20" i="2"/>
  <c r="E20" i="2"/>
  <c r="D20" i="2"/>
  <c r="C20" i="2"/>
  <c r="M14" i="2"/>
  <c r="M13" i="2" s="1"/>
  <c r="K14" i="2"/>
  <c r="K16" i="2" s="1"/>
  <c r="M12" i="2"/>
  <c r="C10" i="4"/>
  <c r="D10" i="4" s="1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6" i="4"/>
  <c r="L8" i="2"/>
  <c r="K8" i="2"/>
  <c r="J8" i="2"/>
  <c r="I8" i="2"/>
  <c r="H8" i="2"/>
  <c r="G8" i="2"/>
  <c r="F8" i="2"/>
  <c r="E8" i="2"/>
  <c r="D8" i="2"/>
  <c r="C4" i="4"/>
  <c r="H4" i="2"/>
  <c r="F3" i="2" a="1"/>
  <c r="F3" i="2" s="1"/>
  <c r="H3" i="2"/>
  <c r="G34" i="1"/>
  <c r="G30" i="1" s="1"/>
  <c r="E34" i="1"/>
  <c r="E30" i="1" s="1"/>
  <c r="C34" i="1"/>
  <c r="E35" i="1" s="1"/>
  <c r="E36" i="1" s="1"/>
  <c r="G33" i="1"/>
  <c r="E33" i="1"/>
  <c r="C33" i="1"/>
  <c r="I31" i="1"/>
  <c r="I6" i="1"/>
  <c r="G39" i="2" s="1"/>
  <c r="C2" i="1"/>
  <c r="C18" i="1" l="1"/>
  <c r="C17" i="1"/>
  <c r="E24" i="3"/>
  <c r="E44" i="3"/>
  <c r="D73" i="5"/>
  <c r="E73" i="5" s="1"/>
  <c r="D51" i="4"/>
  <c r="C51" i="4" s="1"/>
  <c r="D21" i="5"/>
  <c r="D58" i="3"/>
  <c r="D25" i="4" s="1"/>
  <c r="F58" i="3"/>
  <c r="C35" i="2"/>
  <c r="C46" i="3"/>
  <c r="E3" i="3" s="1"/>
  <c r="D72" i="5" a="1"/>
  <c r="D72" i="5" s="1"/>
  <c r="E43" i="5"/>
  <c r="F16" i="2"/>
  <c r="F35" i="2" s="1"/>
  <c r="J4" i="2" a="1"/>
  <c r="J4" i="2" s="1"/>
  <c r="K15" i="2"/>
  <c r="L16" i="2"/>
  <c r="L15" i="2"/>
  <c r="M16" i="2"/>
  <c r="M38" i="2" s="1"/>
  <c r="C76" i="2"/>
  <c r="C38" i="2"/>
  <c r="C17" i="2"/>
  <c r="I9" i="1"/>
  <c r="K36" i="2"/>
  <c r="K47" i="2" s="1"/>
  <c r="L48" i="2"/>
  <c r="F15" i="2"/>
  <c r="G15" i="2"/>
  <c r="C73" i="2"/>
  <c r="J15" i="2"/>
  <c r="C30" i="1"/>
  <c r="I30" i="1" s="1"/>
  <c r="C22" i="2"/>
  <c r="I34" i="1"/>
  <c r="I35" i="1" s="1"/>
  <c r="I36" i="1" s="1"/>
  <c r="D24" i="3"/>
  <c r="C21" i="2"/>
  <c r="E42" i="3"/>
  <c r="D42" i="3" s="1"/>
  <c r="G13" i="2"/>
  <c r="G12" i="2" s="1"/>
  <c r="F13" i="2"/>
  <c r="C77" i="2"/>
  <c r="J13" i="2"/>
  <c r="I47" i="2"/>
  <c r="I46" i="2"/>
  <c r="I50" i="2"/>
  <c r="H50" i="2"/>
  <c r="H46" i="2"/>
  <c r="H48" i="2"/>
  <c r="H47" i="2"/>
  <c r="E47" i="2"/>
  <c r="E46" i="2"/>
  <c r="E50" i="2"/>
  <c r="E39" i="2"/>
  <c r="L39" i="2"/>
  <c r="G46" i="2"/>
  <c r="G48" i="2"/>
  <c r="G50" i="2"/>
  <c r="D14" i="2"/>
  <c r="D16" i="2" s="1"/>
  <c r="D35" i="2" s="1"/>
  <c r="H13" i="2"/>
  <c r="H12" i="2" s="1"/>
  <c r="L13" i="2"/>
  <c r="L12" i="2" s="1"/>
  <c r="F10" i="2"/>
  <c r="J10" i="2"/>
  <c r="J12" i="2" s="1"/>
  <c r="M46" i="2"/>
  <c r="L47" i="2"/>
  <c r="D59" i="2"/>
  <c r="E59" i="2" s="1"/>
  <c r="F59" i="2"/>
  <c r="J39" i="2"/>
  <c r="F39" i="2"/>
  <c r="I39" i="2"/>
  <c r="D39" i="2"/>
  <c r="H39" i="2"/>
  <c r="C39" i="2"/>
  <c r="B58" i="2"/>
  <c r="C3" i="4"/>
  <c r="M47" i="2"/>
  <c r="M48" i="2"/>
  <c r="G47" i="2"/>
  <c r="E14" i="2"/>
  <c r="E16" i="2" s="1"/>
  <c r="E35" i="2" s="1"/>
  <c r="I14" i="2"/>
  <c r="I16" i="2" s="1"/>
  <c r="C7" i="4"/>
  <c r="D7" i="4" s="1"/>
  <c r="D6" i="4" s="1"/>
  <c r="D8" i="4" s="1"/>
  <c r="D13" i="4" s="1"/>
  <c r="F4" i="2"/>
  <c r="C11" i="4"/>
  <c r="K13" i="2"/>
  <c r="K12" i="2" s="1"/>
  <c r="F48" i="2"/>
  <c r="F50" i="2"/>
  <c r="D50" i="2"/>
  <c r="D46" i="2"/>
  <c r="D47" i="2"/>
  <c r="L50" i="2"/>
  <c r="L46" i="2"/>
  <c r="K39" i="2"/>
  <c r="F46" i="2"/>
  <c r="F47" i="2"/>
  <c r="B60" i="2"/>
  <c r="C8" i="4"/>
  <c r="D4" i="4"/>
  <c r="D9" i="4"/>
  <c r="D57" i="5"/>
  <c r="E57" i="5" s="1"/>
  <c r="C75" i="2"/>
  <c r="E26" i="3"/>
  <c r="D50" i="5"/>
  <c r="E25" i="3" l="1"/>
  <c r="E45" i="3" s="1"/>
  <c r="H24" i="3"/>
  <c r="D66" i="5"/>
  <c r="E66" i="5" s="1"/>
  <c r="F49" i="2"/>
  <c r="K50" i="2"/>
  <c r="K46" i="2"/>
  <c r="J9" i="1"/>
  <c r="C16" i="1"/>
  <c r="H25" i="3"/>
  <c r="K48" i="2"/>
  <c r="I48" i="2"/>
  <c r="H15" i="2"/>
  <c r="I15" i="2"/>
  <c r="E48" i="2"/>
  <c r="D15" i="2"/>
  <c r="E15" i="2"/>
  <c r="D48" i="2"/>
  <c r="C15" i="2"/>
  <c r="C12" i="4" s="1"/>
  <c r="D11" i="4"/>
  <c r="D44" i="3"/>
  <c r="F12" i="2"/>
  <c r="J48" i="2"/>
  <c r="J47" i="2"/>
  <c r="J46" i="2"/>
  <c r="J50" i="2"/>
  <c r="H17" i="2"/>
  <c r="H38" i="2"/>
  <c r="F17" i="2"/>
  <c r="F38" i="2"/>
  <c r="D60" i="2"/>
  <c r="E60" i="2" s="1"/>
  <c r="B61" i="2"/>
  <c r="F60" i="2"/>
  <c r="E13" i="2"/>
  <c r="E12" i="2" s="1"/>
  <c r="E46" i="3"/>
  <c r="D26" i="3"/>
  <c r="D15" i="4"/>
  <c r="E50" i="5"/>
  <c r="K17" i="2"/>
  <c r="K38" i="2"/>
  <c r="C74" i="2"/>
  <c r="C9" i="4"/>
  <c r="D13" i="2"/>
  <c r="D12" i="2" s="1"/>
  <c r="J38" i="2"/>
  <c r="J17" i="2"/>
  <c r="G17" i="2"/>
  <c r="G38" i="2"/>
  <c r="C49" i="2"/>
  <c r="I13" i="2"/>
  <c r="I12" i="2" s="1"/>
  <c r="L17" i="2"/>
  <c r="L38" i="2"/>
  <c r="D82" i="5" l="1"/>
  <c r="E82" i="5" s="1"/>
  <c r="C28" i="2"/>
  <c r="D25" i="3"/>
  <c r="H45" i="3"/>
  <c r="I24" i="3"/>
  <c r="H44" i="3"/>
  <c r="E31" i="5" s="1"/>
  <c r="E13" i="4"/>
  <c r="D61" i="2"/>
  <c r="E61" i="2" s="1"/>
  <c r="B62" i="2"/>
  <c r="F61" i="2"/>
  <c r="E38" i="2"/>
  <c r="E49" i="2"/>
  <c r="E17" i="2"/>
  <c r="D76" i="2"/>
  <c r="C15" i="4"/>
  <c r="I38" i="2"/>
  <c r="I17" i="2"/>
  <c r="D49" i="2"/>
  <c r="D17" i="2"/>
  <c r="D38" i="2"/>
  <c r="D46" i="3"/>
  <c r="D18" i="1" l="1"/>
  <c r="D17" i="1"/>
  <c r="C36" i="2"/>
  <c r="C78" i="2" s="1"/>
  <c r="I10" i="1"/>
  <c r="D45" i="3"/>
  <c r="E11" i="4"/>
  <c r="E12" i="4"/>
  <c r="F13" i="4"/>
  <c r="F15" i="4" s="1"/>
  <c r="F19" i="4" s="1"/>
  <c r="E15" i="4"/>
  <c r="I44" i="3"/>
  <c r="D31" i="5"/>
  <c r="D62" i="2"/>
  <c r="E62" i="2" s="1"/>
  <c r="F62" i="2"/>
  <c r="B63" i="2"/>
  <c r="D16" i="1" l="1"/>
  <c r="E50" i="3"/>
  <c r="C46" i="2"/>
  <c r="C47" i="2"/>
  <c r="C50" i="2"/>
  <c r="C48" i="2"/>
  <c r="D63" i="2"/>
  <c r="E63" i="2" s="1"/>
  <c r="F63" i="2"/>
  <c r="B64" i="2"/>
  <c r="D60" i="3" l="1"/>
  <c r="D50" i="3"/>
  <c r="D6" i="3"/>
  <c r="D7" i="3" s="1"/>
  <c r="D27" i="4"/>
  <c r="G27" i="4" s="1"/>
  <c r="D64" i="2"/>
  <c r="E64" i="2" s="1"/>
  <c r="B65" i="2"/>
  <c r="F64" i="2"/>
  <c r="I21" i="1" l="1"/>
  <c r="F21" i="1" s="1"/>
  <c r="E6" i="3"/>
  <c r="D65" i="2"/>
  <c r="E65" i="2" s="1"/>
  <c r="B66" i="2"/>
  <c r="F65" i="2"/>
  <c r="H7" i="3"/>
  <c r="H6" i="3"/>
  <c r="D21" i="1" l="1"/>
  <c r="D66" i="2"/>
  <c r="E66" i="2" s="1"/>
  <c r="B67" i="2"/>
  <c r="F66" i="2"/>
  <c r="D67" i="2" l="1"/>
  <c r="E67" i="2" s="1"/>
  <c r="F67" i="2"/>
  <c r="B68" i="2"/>
  <c r="D68" i="2" l="1"/>
  <c r="E68" i="2" s="1"/>
  <c r="E69" i="2" s="1"/>
  <c r="F68" i="2"/>
  <c r="F70" i="2" s="1"/>
  <c r="D77" i="2" l="1"/>
  <c r="D73" i="2"/>
  <c r="D75" i="2"/>
  <c r="C18" i="4" s="1"/>
  <c r="D78" i="2"/>
  <c r="C17" i="4" l="1"/>
  <c r="D74" i="2"/>
  <c r="C13" i="4"/>
  <c r="D12" i="4" s="1"/>
  <c r="J10" i="1" l="1"/>
  <c r="F21" i="4" l="1"/>
  <c r="F22" i="4" s="1"/>
  <c r="D20" i="4"/>
  <c r="G20" i="4"/>
  <c r="G30" i="4" s="1"/>
  <c r="G16" i="4" l="1"/>
  <c r="G17" i="4" s="1"/>
  <c r="D21" i="4"/>
  <c r="E20" i="4"/>
  <c r="E21" i="4" s="1"/>
  <c r="E18" i="4" l="1"/>
  <c r="E19" i="4" s="1"/>
  <c r="E22" i="4" s="1"/>
  <c r="C33" i="4" s="1"/>
  <c r="D17" i="4"/>
  <c r="D19" i="4" s="1"/>
  <c r="G12" i="4"/>
  <c r="C30" i="4" s="1"/>
  <c r="C31" i="4" s="1"/>
  <c r="C32" i="4" s="1"/>
  <c r="G21" i="4"/>
  <c r="D22" i="4" l="1"/>
  <c r="C40" i="4" s="1"/>
  <c r="F47" i="4" s="1"/>
  <c r="G13" i="4"/>
  <c r="C37" i="4" s="1"/>
  <c r="D37" i="4" s="1"/>
  <c r="C34" i="4"/>
  <c r="C35" i="4" s="1"/>
  <c r="C54" i="4" s="1"/>
  <c r="G15" i="4" l="1"/>
  <c r="F50" i="4"/>
  <c r="G50" i="4" s="1"/>
  <c r="F51" i="4"/>
  <c r="E54" i="4" s="1"/>
  <c r="F48" i="4"/>
  <c r="G48" i="4" s="1"/>
  <c r="F49" i="4"/>
  <c r="G49" i="4" s="1"/>
  <c r="F46" i="4"/>
  <c r="G46" i="4" s="1"/>
  <c r="G47" i="4"/>
  <c r="G19" i="4" l="1"/>
  <c r="C38" i="4" s="1"/>
  <c r="G51" i="4"/>
  <c r="D54" i="4"/>
  <c r="E53" i="4" s="1"/>
  <c r="D7" i="5" l="1"/>
  <c r="E7" i="5" l="1"/>
  <c r="E11" i="5"/>
  <c r="D11" i="5" l="1"/>
  <c r="E25" i="5"/>
  <c r="D25" i="5" s="1"/>
  <c r="E84" i="5" s="1"/>
  <c r="D84" i="5" s="1"/>
  <c r="E12" i="5" s="1"/>
  <c r="D12" i="5" s="1"/>
  <c r="D13" i="5" l="1"/>
  <c r="E13" i="5" s="1"/>
  <c r="C57" i="4"/>
  <c r="D14" i="1" s="1"/>
  <c r="E17" i="1" s="1"/>
  <c r="G17" i="1" s="1"/>
  <c r="E16" i="1" l="1"/>
  <c r="G16" i="1" s="1"/>
  <c r="E18" i="1"/>
  <c r="G18" i="1" s="1"/>
  <c r="E57" i="4"/>
  <c r="F57" i="4"/>
  <c r="C39" i="4"/>
  <c r="C41" i="4" s="1"/>
  <c r="C42" i="4" s="1"/>
  <c r="G38" i="4"/>
  <c r="E45" i="4" s="1"/>
  <c r="D46" i="4" l="1"/>
  <c r="C46" i="4" s="1"/>
  <c r="D47" i="4" l="1"/>
  <c r="D48" i="4" s="1"/>
  <c r="D49" i="4" s="1"/>
  <c r="C49" i="4" s="1"/>
  <c r="C47" i="4" l="1"/>
  <c r="D50" i="4"/>
  <c r="C50" i="4" s="1"/>
  <c r="C48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<sst xmlns="http://schemas.openxmlformats.org/spreadsheetml/2006/main" count="427" uniqueCount="358">
  <si>
    <t>Company Info:</t>
  </si>
  <si>
    <t>Ticker:</t>
  </si>
  <si>
    <t>0017.HK</t>
  </si>
  <si>
    <t>Listing Location:</t>
  </si>
  <si>
    <t>HKG</t>
  </si>
  <si>
    <t>Ticker Name:</t>
  </si>
  <si>
    <t>NEW WORLD DEV</t>
  </si>
  <si>
    <t>Current Price:</t>
  </si>
  <si>
    <t>HKD</t>
  </si>
  <si>
    <t>Valuation Date:</t>
  </si>
  <si>
    <t>Number of Shares:</t>
  </si>
  <si>
    <t>Next Earnings Date:</t>
  </si>
  <si>
    <t>Capitalization:</t>
  </si>
  <si>
    <t>LFY Dividend and Buyback</t>
  </si>
  <si>
    <t>Current Price Metrics</t>
  </si>
  <si>
    <t>Discount Rate Assumptions</t>
  </si>
  <si>
    <t>P/E Ratio &amp; Earnings Yield:</t>
  </si>
  <si>
    <t>Nominal Default-free Rate</t>
  </si>
  <si>
    <t>CN</t>
  </si>
  <si>
    <t>P/B &amp; EV/EBIT Ratios:</t>
  </si>
  <si>
    <t>Discount rate =</t>
  </si>
  <si>
    <t>Reporting Currency:</t>
  </si>
  <si>
    <t>Required return in 2 years</t>
  </si>
  <si>
    <t>Exchange Rate:</t>
  </si>
  <si>
    <t>Valuation Output:</t>
  </si>
  <si>
    <t>FCF Value =</t>
  </si>
  <si>
    <t>PE</t>
  </si>
  <si>
    <t>PB</t>
  </si>
  <si>
    <t>Return</t>
  </si>
  <si>
    <t>Margin of Safty</t>
  </si>
  <si>
    <t>Excess Return</t>
  </si>
  <si>
    <t>Frd. Dividend</t>
  </si>
  <si>
    <t>Dividend Yield:</t>
  </si>
  <si>
    <t>Price Expectation Analysis</t>
  </si>
  <si>
    <t>Op. Assets</t>
  </si>
  <si>
    <t>Non-op. Assets</t>
  </si>
  <si>
    <t>⇒</t>
  </si>
  <si>
    <t>Cash like</t>
  </si>
  <si>
    <t>Net Non-op.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</si>
  <si>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</si>
  <si>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</si>
  <si>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</si>
  <si>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</si>
  <si>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</si>
  <si>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</si>
  <si>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</si>
  <si>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</si>
  <si>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</si>
  <si>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</si>
  <si>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</si>
  <si>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</si>
  <si>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</si>
  <si>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</si>
  <si>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</si>
  <si>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</si>
  <si>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</si>
  <si>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</si>
  <si>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</si>
  <si>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</si>
  <si>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</si>
  <si>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</si>
  <si>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</si>
  <si>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</si>
  <si>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</si>
  <si>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</si>
  <si>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</si>
  <si>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</si>
  <si>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</si>
  <si>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</si>
  <si>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</si>
  <si>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</si>
  <si>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</si>
  <si>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</si>
  <si>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</si>
  <si>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</si>
  <si>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</si>
  <si>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</si>
  <si>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</si>
  <si>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</si>
  <si>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</si>
  <si>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</si>
  <si>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</si>
  <si>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</si>
  <si>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</si>
  <si>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</si>
  <si>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</si>
  <si>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</si>
  <si>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</si>
  <si>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</si>
  <si>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</si>
  <si>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</si>
  <si>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</si>
  <si>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Dividend and Buyback</t>
  </si>
  <si>
    <t>Dividend Paid</t>
  </si>
  <si>
    <t>Share Repurchase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</si>
  <si>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</si>
  <si>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</si>
  <si>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</si>
  <si>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</si>
  <si>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</si>
  <si>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</si>
  <si>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</si>
  <si>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Non-cash WC/ Sales Requirement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</si>
  <si>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</si>
  <si>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</si>
  <si>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</si>
  <si>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</si>
  <si>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</si>
  <si>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</si>
  <si>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</si>
  <si>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</si>
  <si>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</si>
  <si>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</si>
  <si>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</si>
  <si>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</si>
  <si>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</si>
  <si>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</si>
  <si>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</si>
  <si>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</si>
  <si>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</si>
  <si>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</si>
  <si>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</si>
  <si>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</si>
  <si>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</si>
  <si>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</si>
  <si>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</si>
  <si>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</si>
  <si>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</si>
  <si>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</si>
  <si>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</si>
  <si>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</si>
  <si>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</si>
  <si>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</si>
  <si>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</si>
  <si>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NAVPS =</t>
  </si>
  <si>
    <t xml:space="preserve">Minority Interest = 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</si>
  <si>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</si>
  <si>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</si>
  <si>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</si>
  <si>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</si>
  <si>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</si>
  <si>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</si>
  <si>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</si>
  <si>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</si>
  <si>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</si>
  <si>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</si>
  <si>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</si>
  <si>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</si>
  <si>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</si>
  <si>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</si>
  <si>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</si>
  <si>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</si>
  <si>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</si>
  <si>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</si>
  <si>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</si>
  <si>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</si>
  <si>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</si>
  <si>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</si>
  <si>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</si>
  <si>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</si>
  <si>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</si>
  <si>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</si>
  <si>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</si>
  <si>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</si>
  <si>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</si>
  <si>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</si>
  <si>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</si>
  <si>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</si>
  <si>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</si>
  <si>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</si>
  <si>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</si>
  <si>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</si>
  <si>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</si>
  <si>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</si>
  <si>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</si>
  <si>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</si>
  <si>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</si>
  <si>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</si>
  <si>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</si>
  <si>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</si>
  <si>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</si>
  <si>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</si>
  <si>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</si>
  <si>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</si>
  <si>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</si>
  <si>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</si>
  <si>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</si>
  <si>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</si>
  <si>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</si>
  <si>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</si>
  <si>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</si>
  <si>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</si>
  <si>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</si>
  <si>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</si>
  <si>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</si>
  <si>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</si>
  <si>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</si>
  <si>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</si>
  <si>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</si>
  <si>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</si>
  <si>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</si>
  <si>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</si>
  <si>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</si>
  <si>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</si>
  <si>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</si>
  <si>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</si>
  <si>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</si>
  <si>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</si>
  <si>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</si>
  <si>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</si>
  <si>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</si>
  <si>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</si>
  <si>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</si>
  <si>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</si>
  <si>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</si>
  <si>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</si>
  <si>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</si>
  <si>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</si>
  <si>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</si>
  <si>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</si>
  <si>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</si>
  <si>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</si>
  <si>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</si>
  <si>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</si>
  <si>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</si>
  <si>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+ Cash</t>
  </si>
  <si>
    <t>+ Realizable Non-Op. Asset</t>
  </si>
  <si>
    <t>- Total outstanding debt =</t>
  </si>
  <si>
    <t>- MV of Minority Interests</t>
  </si>
  <si>
    <t>Non-op Asset less Debt and Minority interest =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</si>
  <si>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</si>
  <si>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</si>
  <si>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</si>
  <si>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</si>
  <si>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</si>
  <si>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</si>
  <si>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</si>
  <si>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</si>
  <si>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</si>
  <si>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</si>
  <si>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</si>
  <si>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</si>
  <si>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</si>
  <si>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</si>
  <si>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</si>
  <si>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</si>
  <si>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</si>
  <si>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</si>
  <si>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</si>
  <si>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</si>
  <si>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</si>
  <si>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</si>
  <si>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</si>
  <si>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Model Output =</t>
  </si>
  <si>
    <t>The expected value incoporates business risk</t>
  </si>
  <si>
    <t>Margin of Safety Analysis</t>
  </si>
  <si>
    <t>PART I: Complexity of the business</t>
  </si>
  <si>
    <t>1. Does the company have a non-cyclical business and a consistent earnings history?</t>
  </si>
  <si>
    <t>unclear</t>
  </si>
  <si>
    <t>2. Does the company have simple revenue and expense structure to understand?</t>
  </si>
  <si>
    <t>agree</t>
  </si>
  <si>
    <t>3. Does the company have simple assets base to value?</t>
  </si>
  <si>
    <r>
      <t xml:space="preserve">⇒ </t>
    </r>
    <r>
      <rPr>
        <b/>
        <i/>
        <u/>
        <sz val="11"/>
        <color rgb="FF000000"/>
        <rFont val="Times New Roman"/>
        <family val="1"/>
      </rPr>
      <t>Complexity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</si>
  <si>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</si>
  <si>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 xml:space="preserve">Reputation: </t>
    </r>
    <r>
      <rPr>
        <sz val="11"/>
        <color rgb="FF000000"/>
        <rFont val="Times New Roman"/>
        <family val="1"/>
      </rPr>
      <t>Does the company and management have good reputation?</t>
    </r>
  </si>
  <si>
    <r>
      <t xml:space="preserve">2. </t>
    </r>
    <r>
      <rPr>
        <b/>
        <sz val="11"/>
        <color rgb="FF000000"/>
        <rFont val="Times New Roman"/>
        <family val="1"/>
      </rPr>
      <t>Complexity:</t>
    </r>
    <r>
      <rPr>
        <sz val="11"/>
        <color rgb="FF000000"/>
        <rFont val="Times New Roman"/>
        <family val="1"/>
      </rPr>
      <t xml:space="preserve"> Does the company have a consistent operating and earning and dividend history?</t>
    </r>
  </si>
  <si>
    <r>
      <t xml:space="preserve">3. </t>
    </r>
    <r>
      <rPr>
        <b/>
        <sz val="11"/>
        <color rgb="FF000000"/>
        <rFont val="Times New Roman"/>
        <family val="1"/>
      </rPr>
      <t>Business Quality:</t>
    </r>
    <r>
      <rPr>
        <sz val="11"/>
        <color rgb="FF000000"/>
        <rFont val="Times New Roman"/>
        <family val="1"/>
      </rPr>
      <t xml:space="preserve"> Does the company have a potent and a consistent earnings history?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</si>
  <si>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</si>
  <si>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Company life cycle Analysis</t>
  </si>
  <si>
    <t># inspired by "Cash Flow Patterns as a Proxy for Firm Life Cycle" (V. Dickinson, 2011)</t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</si>
  <si>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Default Terminal Value Yield</t>
    </r>
  </si>
  <si>
    <r>
      <t xml:space="preserve">1. </t>
    </r>
    <r>
      <rPr>
        <b/>
        <sz val="11"/>
        <color rgb="FF000000"/>
        <rFont val="Times New Roman"/>
        <family val="1"/>
      </rPr>
      <t>Cashflow from operation</t>
    </r>
  </si>
  <si>
    <t>(-) Low/Decreasing CFO</t>
  </si>
  <si>
    <r>
      <t xml:space="preserve">2. </t>
    </r>
    <r>
      <rPr>
        <b/>
        <sz val="11"/>
        <color rgb="FF000000"/>
        <rFont val="Times New Roman"/>
        <family val="1"/>
      </rPr>
      <t>Cashflow from investment</t>
    </r>
  </si>
  <si>
    <t>(-) Low/Decreasing CFI</t>
  </si>
  <si>
    <r>
      <t xml:space="preserve">3. </t>
    </r>
    <r>
      <rPr>
        <b/>
        <sz val="11"/>
        <color rgb="FF000000"/>
        <rFont val="Times New Roman"/>
        <family val="1"/>
      </rPr>
      <t>Cashflow from financing</t>
    </r>
  </si>
  <si>
    <t>(+) Rapidly Increasing CFF</t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</si>
  <si>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Likely stage in the company life cycle</t>
    </r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</si>
  <si>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Terminal Value Yield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</si>
  <si>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</si>
  <si>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</si>
  <si>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</si>
  <si>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</si>
  <si>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</si>
  <si>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</si>
  <si>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</si>
  <si>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</si>
  <si>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</si>
  <si>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</si>
  <si>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</si>
  <si>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</si>
  <si>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</si>
  <si>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</si>
  <si>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</si>
  <si>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</si>
  <si>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</si>
  <si>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</si>
  <si>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</si>
  <si>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</si>
  <si>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</si>
  <si>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</si>
  <si>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</si>
  <si>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</si>
  <si>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</si>
  <si>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and equal access to distribution channels.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</si>
  <si>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</si>
  <si>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</si>
  <si>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</si>
  <si>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</si>
  <si>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</si>
  <si>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</si>
  <si>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</si>
  <si>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</si>
  <si>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</si>
  <si>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</si>
  <si>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</si>
  <si>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</si>
  <si>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</si>
  <si>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</si>
  <si>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</si>
  <si>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</si>
  <si>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</si>
  <si>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</si>
  <si>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</si>
  <si>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</si>
  <si>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</si>
  <si>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</si>
  <si>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</si>
  <si>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</si>
  <si>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</si>
  <si>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There is no restrictive government policy</t>
  </si>
  <si>
    <t>6.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</si>
  <si>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</si>
  <si>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</si>
  <si>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</si>
  <si>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</si>
  <si>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</si>
  <si>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Firms cannot read each other’s signals well.</t>
  </si>
  <si>
    <t>5. Products or services of rivals are nearly identical with few buyer switching costs.</t>
  </si>
  <si>
    <t>6. Fixed costs are high and marginal costs are low.</t>
  </si>
  <si>
    <t>7. Capacity must be expanded in large increments to be efficient.</t>
  </si>
  <si>
    <t>8. The product is perishable (The opposition is product that gets better with age).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</si>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</sst>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Price = &quot;0.00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sz val="11"/>
      <color theme="2" tint="-0.1499984740745262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7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28" fillId="0" borderId="0" applyFont="0" applyFill="0" applyBorder="0" applyAlignment="0" applyProtection="0"/>
  </cellStyleXfs>
  <cellXfs count="38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5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4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4" fontId="5" fillId="0" borderId="12" xfId="0" applyNumberFormat="1" applyFont="1" applyBorder="1" applyAlignment="1">
      <alignment horizontal="center"/>
    </xf>
    <xf numFmtId="174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4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2" fillId="0" borderId="9" xfId="0" applyFont="1" applyBorder="1"/>
    <xf numFmtId="0" fontId="16" fillId="0" borderId="9" xfId="0" applyFont="1" applyBorder="1"/>
    <xf numFmtId="0" fontId="23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4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5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7" fontId="1" fillId="4" borderId="13" xfId="0" applyNumberFormat="1" applyFont="1" applyFill="1" applyBorder="1" applyAlignment="1">
      <alignment horizontal="center"/>
    </xf>
    <xf numFmtId="177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7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3" fontId="1" fillId="4" borderId="45" xfId="0" applyNumberFormat="1" applyFont="1" applyFill="1" applyBorder="1" applyAlignment="1">
      <alignment horizontal="left"/>
    </xf>
    <xf numFmtId="167" fontId="1" fillId="0" borderId="46" xfId="0" applyNumberFormat="1" applyFont="1" applyBorder="1" applyAlignment="1">
      <alignment horizontal="center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2" fillId="13" borderId="15" xfId="0" applyNumberFormat="1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67" fontId="1" fillId="0" borderId="48" xfId="0" applyNumberFormat="1" applyFont="1" applyBorder="1" applyAlignment="1">
      <alignment horizontal="center"/>
    </xf>
    <xf numFmtId="167" fontId="1" fillId="0" borderId="49" xfId="0" applyNumberFormat="1" applyFont="1" applyBorder="1" applyAlignment="1">
      <alignment horizontal="center"/>
    </xf>
    <xf numFmtId="178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6" fontId="1" fillId="0" borderId="49" xfId="0" applyNumberFormat="1" applyFont="1" applyBorder="1" applyAlignment="1">
      <alignment horizontal="center"/>
    </xf>
    <xf numFmtId="0" fontId="5" fillId="0" borderId="58" xfId="0" applyFont="1" applyBorder="1"/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27" fillId="0" borderId="33" xfId="0" applyFont="1" applyBorder="1" applyAlignment="1">
      <alignment horizontal="right" wrapText="1"/>
    </xf>
    <xf numFmtId="0" fontId="20" fillId="0" borderId="60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3" borderId="17" xfId="0" applyNumberFormat="1" applyFont="1" applyFill="1" applyBorder="1" applyAlignment="1">
      <alignment horizontal="center"/>
    </xf>
    <xf numFmtId="10" fontId="7" fillId="0" borderId="59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12" borderId="61" xfId="0" applyFont="1" applyFill="1" applyBorder="1" applyAlignment="1">
      <alignment horizontal="center"/>
    </xf>
    <xf numFmtId="167" fontId="1" fillId="0" borderId="62" xfId="0" applyNumberFormat="1" applyFont="1" applyBorder="1" applyAlignment="1">
      <alignment horizontal="center"/>
    </xf>
    <xf numFmtId="167" fontId="1" fillId="0" borderId="63" xfId="0" applyNumberFormat="1" applyFont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10" fontId="2" fillId="12" borderId="16" xfId="0" applyNumberFormat="1" applyFont="1" applyFill="1" applyBorder="1" applyAlignment="1">
      <alignment horizontal="center"/>
    </xf>
    <xf numFmtId="10" fontId="5" fillId="0" borderId="20" xfId="0" applyNumberFormat="1" applyFont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4" fontId="5" fillId="0" borderId="66" xfId="0" applyNumberFormat="1" applyFont="1" applyBorder="1" applyAlignment="1">
      <alignment horizontal="center"/>
    </xf>
    <xf numFmtId="4" fontId="1" fillId="0" borderId="64" xfId="0" applyNumberFormat="1" applyFont="1" applyBorder="1" applyAlignment="1">
      <alignment horizontal="center"/>
    </xf>
    <xf numFmtId="0" fontId="1" fillId="0" borderId="65" xfId="0" applyFont="1" applyBorder="1" applyAlignment="1">
      <alignment horizontal="center"/>
    </xf>
    <xf numFmtId="0" fontId="5" fillId="0" borderId="64" xfId="0" applyFont="1" applyBorder="1" applyAlignment="1">
      <alignment horizontal="center"/>
    </xf>
    <xf numFmtId="4" fontId="5" fillId="0" borderId="64" xfId="0" applyNumberFormat="1" applyFont="1" applyBorder="1" applyAlignment="1">
      <alignment horizontal="center"/>
    </xf>
    <xf numFmtId="0" fontId="5" fillId="0" borderId="9" xfId="0" applyFont="1" applyBorder="1" applyAlignment="1">
      <alignment vertical="center"/>
    </xf>
    <xf numFmtId="0" fontId="16" fillId="0" borderId="11" xfId="0" applyFont="1" applyBorder="1" applyAlignment="1">
      <alignment horizontal="center" vertical="center"/>
    </xf>
    <xf numFmtId="179" fontId="2" fillId="13" borderId="17" xfId="0" applyNumberFormat="1" applyFont="1" applyFill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4" fontId="5" fillId="0" borderId="9" xfId="0" applyNumberFormat="1" applyFont="1" applyBorder="1"/>
    <xf numFmtId="3" fontId="2" fillId="12" borderId="13" xfId="0" applyNumberFormat="1" applyFont="1" applyFill="1" applyBorder="1" applyAlignment="1">
      <alignment horizontal="right"/>
    </xf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3" fontId="2" fillId="12" borderId="17" xfId="0" applyNumberFormat="1" applyFont="1" applyFill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0" fontId="5" fillId="0" borderId="62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29" fillId="14" borderId="9" xfId="0" applyNumberFormat="1" applyFont="1" applyFill="1" applyBorder="1" applyAlignment="1">
      <alignment horizontal="center" vertical="center"/>
    </xf>
    <xf numFmtId="10" fontId="3" fillId="0" borderId="41" xfId="0" applyNumberFormat="1" applyFont="1" applyBorder="1" applyAlignment="1">
      <alignment horizontal="center"/>
    </xf>
    <xf numFmtId="0" fontId="16" fillId="0" borderId="11" xfId="0" applyFont="1" applyBorder="1" applyAlignment="1">
      <alignment horizontal="right"/>
    </xf>
    <xf numFmtId="10" fontId="7" fillId="0" borderId="11" xfId="0" applyNumberFormat="1" applyFont="1" applyBorder="1" applyAlignment="1">
      <alignment horizontal="center"/>
    </xf>
    <xf numFmtId="167" fontId="1" fillId="0" borderId="56" xfId="0" applyNumberFormat="1" applyFont="1" applyBorder="1" applyAlignment="1">
      <alignment horizontal="center"/>
    </xf>
    <xf numFmtId="167" fontId="1" fillId="0" borderId="67" xfId="0" applyNumberFormat="1" applyFont="1" applyBorder="1" applyAlignment="1">
      <alignment horizontal="center"/>
    </xf>
    <xf numFmtId="10" fontId="5" fillId="0" borderId="67" xfId="0" applyNumberFormat="1" applyFont="1" applyBorder="1" applyAlignment="1">
      <alignment horizontal="center"/>
    </xf>
    <xf numFmtId="181" fontId="4" fillId="12" borderId="9" xfId="0" applyNumberFormat="1" applyFont="1" applyFill="1" applyBorder="1" applyAlignment="1">
      <alignment horizontal="center"/>
    </xf>
    <xf numFmtId="181" fontId="4" fillId="12" borderId="11" xfId="0" applyNumberFormat="1" applyFont="1" applyFill="1" applyBorder="1" applyAlignment="1">
      <alignment horizontal="center"/>
    </xf>
    <xf numFmtId="167" fontId="1" fillId="0" borderId="68" xfId="0" applyNumberFormat="1" applyFont="1" applyBorder="1" applyAlignment="1">
      <alignment horizontal="center"/>
    </xf>
    <xf numFmtId="10" fontId="1" fillId="19" borderId="62" xfId="0" applyNumberFormat="1" applyFont="1" applyFill="1" applyBorder="1" applyAlignment="1">
      <alignment horizontal="center"/>
    </xf>
    <xf numFmtId="10" fontId="1" fillId="19" borderId="67" xfId="0" applyNumberFormat="1" applyFont="1" applyFill="1" applyBorder="1" applyAlignment="1">
      <alignment horizontal="center"/>
    </xf>
    <xf numFmtId="10" fontId="1" fillId="19" borderId="63" xfId="0" applyNumberFormat="1" applyFont="1" applyFill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10" fontId="1" fillId="0" borderId="70" xfId="0" applyNumberFormat="1" applyFont="1" applyBorder="1" applyAlignment="1">
      <alignment horizontal="center"/>
    </xf>
    <xf numFmtId="10" fontId="1" fillId="0" borderId="71" xfId="0" applyNumberFormat="1" applyFont="1" applyBorder="1" applyAlignment="1">
      <alignment horizontal="center"/>
    </xf>
    <xf numFmtId="0" fontId="23" fillId="0" borderId="9" xfId="0" applyFont="1" applyBorder="1"/>
    <xf numFmtId="0" fontId="1" fillId="17" borderId="20" xfId="0" applyFont="1" applyFill="1" applyBorder="1"/>
    <xf numFmtId="176" fontId="1" fillId="0" borderId="13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8" fontId="4" fillId="13" borderId="22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171" fontId="1" fillId="0" borderId="30" xfId="0" applyNumberFormat="1" applyFont="1" applyBorder="1" applyAlignment="1">
      <alignment horizontal="center"/>
    </xf>
    <xf numFmtId="4" fontId="2" fillId="12" borderId="61" xfId="0" applyNumberFormat="1" applyFont="1" applyFill="1" applyBorder="1" applyAlignment="1">
      <alignment horizontal="center" vertical="center"/>
    </xf>
    <xf numFmtId="4" fontId="2" fillId="12" borderId="18" xfId="0" applyNumberFormat="1" applyFont="1" applyFill="1" applyBorder="1" applyAlignment="1">
      <alignment horizontal="center" vertical="center"/>
    </xf>
    <xf numFmtId="4" fontId="2" fillId="12" borderId="19" xfId="0" applyNumberFormat="1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left" vertical="center" wrapText="1"/>
    </xf>
    <xf numFmtId="0" fontId="7" fillId="12" borderId="13" xfId="0" applyFont="1" applyFill="1" applyBorder="1"/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8" fontId="3" fillId="0" borderId="13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0" fontId="5" fillId="0" borderId="13" xfId="0" applyFont="1" applyBorder="1"/>
    <xf numFmtId="3" fontId="2" fillId="13" borderId="13" xfId="0" applyNumberFormat="1" applyFont="1" applyFill="1" applyBorder="1" applyAlignment="1">
      <alignment horizontal="center"/>
    </xf>
    <xf numFmtId="8" fontId="4" fillId="13" borderId="13" xfId="0" applyNumberFormat="1" applyFont="1" applyFill="1" applyBorder="1" applyAlignment="1">
      <alignment horizontal="center"/>
    </xf>
    <xf numFmtId="6" fontId="3" fillId="0" borderId="50" xfId="0" applyNumberFormat="1" applyFont="1" applyBorder="1" applyAlignment="1">
      <alignment horizontal="center"/>
    </xf>
    <xf numFmtId="6" fontId="3" fillId="0" borderId="51" xfId="0" applyNumberFormat="1" applyFont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0" fontId="1" fillId="17" borderId="13" xfId="0" applyFont="1" applyFill="1" applyBorder="1"/>
    <xf numFmtId="179" fontId="2" fillId="13" borderId="17" xfId="0" applyNumberFormat="1" applyFont="1" applyFill="1" applyBorder="1" applyAlignment="1">
      <alignment horizontal="center"/>
    </xf>
    <xf numFmtId="179" fontId="7" fillId="12" borderId="17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79" fontId="2" fillId="13" borderId="28" xfId="0" applyNumberFormat="1" applyFont="1" applyFill="1" applyBorder="1" applyAlignment="1">
      <alignment horizontal="center"/>
    </xf>
    <xf numFmtId="179" fontId="2" fillId="13" borderId="35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0" fontId="5" fillId="0" borderId="55" xfId="0" applyNumberFormat="1" applyFont="1" applyBorder="1" applyAlignment="1">
      <alignment horizontal="center" vertical="center"/>
    </xf>
    <xf numFmtId="10" fontId="5" fillId="0" borderId="56" xfId="0" applyNumberFormat="1" applyFont="1" applyBorder="1" applyAlignment="1">
      <alignment horizontal="center" vertical="center"/>
    </xf>
    <xf numFmtId="10" fontId="5" fillId="0" borderId="57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164" fontId="2" fillId="13" borderId="20" xfId="0" applyNumberFormat="1" applyFont="1" applyFill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165" fontId="5" fillId="0" borderId="52" xfId="0" applyNumberFormat="1" applyFont="1" applyBorder="1" applyAlignment="1">
      <alignment horizontal="center"/>
    </xf>
    <xf numFmtId="165" fontId="5" fillId="0" borderId="53" xfId="0" applyNumberFormat="1" applyFont="1" applyBorder="1" applyAlignment="1">
      <alignment horizontal="center"/>
    </xf>
    <xf numFmtId="10" fontId="2" fillId="12" borderId="20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2" fillId="12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3" fontId="2" fillId="12" borderId="47" xfId="0" applyNumberFormat="1" applyFont="1" applyFill="1" applyBorder="1" applyAlignment="1">
      <alignment horizontal="center"/>
    </xf>
    <xf numFmtId="3" fontId="2" fillId="12" borderId="48" xfId="0" applyNumberFormat="1" applyFont="1" applyFill="1" applyBorder="1" applyAlignment="1">
      <alignment horizontal="center"/>
    </xf>
    <xf numFmtId="3" fontId="2" fillId="12" borderId="72" xfId="0" applyNumberFormat="1" applyFont="1" applyFill="1" applyBorder="1" applyAlignment="1">
      <alignment horizontal="center"/>
    </xf>
    <xf numFmtId="3" fontId="2" fillId="12" borderId="73" xfId="0" applyNumberFormat="1" applyFont="1" applyFill="1" applyBorder="1" applyAlignment="1">
      <alignment horizontal="center"/>
    </xf>
    <xf numFmtId="0" fontId="20" fillId="0" borderId="75" xfId="0" applyFont="1" applyBorder="1" applyAlignment="1">
      <alignment horizontal="center" wrapText="1"/>
    </xf>
    <xf numFmtId="0" fontId="20" fillId="0" borderId="76" xfId="0" applyFont="1" applyBorder="1" applyAlignment="1">
      <alignment horizontal="center" wrapText="1"/>
    </xf>
    <xf numFmtId="4" fontId="7" fillId="18" borderId="47" xfId="0" applyNumberFormat="1" applyFont="1" applyFill="1" applyBorder="1" applyAlignment="1">
      <alignment horizontal="center"/>
    </xf>
    <xf numFmtId="4" fontId="7" fillId="18" borderId="73" xfId="0" applyNumberFormat="1" applyFont="1" applyFill="1" applyBorder="1" applyAlignment="1">
      <alignment horizontal="center"/>
    </xf>
    <xf numFmtId="4" fontId="7" fillId="18" borderId="49" xfId="0" applyNumberFormat="1" applyFont="1" applyFill="1" applyBorder="1" applyAlignment="1">
      <alignment horizontal="center"/>
    </xf>
    <xf numFmtId="4" fontId="7" fillId="18" borderId="74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R992"/>
  <sheetViews>
    <sheetView showGridLines="0" tabSelected="1" zoomScaleNormal="100" workbookViewId="0">
      <selection activeCell="C4" sqref="C4:D4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2.453125" style="3"/>
    <col min="12" max="12" width="17.1796875" style="3" bestFit="1" customWidth="1"/>
    <col min="13" max="14" width="12.453125" style="3"/>
    <col min="15" max="15" width="17.1796875" style="3" bestFit="1" customWidth="1"/>
    <col min="16" max="16" width="12.453125" style="3"/>
    <col min="17" max="17" width="14.54296875" style="3" bestFit="1" customWidth="1"/>
    <col min="18" max="16384" width="12.453125" style="3"/>
  </cols>
  <sheetData>
    <row r="1" spans="1:18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8" ht="15.75" customHeight="1" x14ac:dyDescent="0.3">
      <c r="A2" s="10"/>
      <c r="B2" s="11" t="s">
        <v>0</v>
      </c>
      <c r="C2" s="349" t="str">
        <f>C3&amp;" : "&amp;C4</f>
        <v>0017.HK : NEW WORLD DEV</v>
      </c>
      <c r="D2" s="350"/>
      <c r="E2" s="12"/>
      <c r="F2" s="12"/>
      <c r="G2" s="12"/>
      <c r="H2" s="12"/>
      <c r="I2" s="12"/>
      <c r="J2" s="12"/>
      <c r="K2" s="6"/>
    </row>
    <row r="3" spans="1:18" ht="15.75" customHeight="1" x14ac:dyDescent="0.3">
      <c r="B3" s="16" t="s">
        <v>1</v>
      </c>
      <c r="C3" s="351" t="s">
        <v>2</v>
      </c>
      <c r="D3" s="352"/>
      <c r="E3" s="15"/>
      <c r="G3" s="7" t="s">
        <v>3</v>
      </c>
      <c r="I3" s="360" t="s">
        <v>4</v>
      </c>
      <c r="J3" s="361"/>
    </row>
    <row r="4" spans="1:18" ht="15.75" customHeight="1" x14ac:dyDescent="0.3">
      <c r="B4" s="5" t="s">
        <v>5</v>
      </c>
      <c r="C4" s="353" t="s">
        <v>6</v>
      </c>
      <c r="D4" s="354"/>
      <c r="E4" s="6"/>
      <c r="G4" s="5" t="s">
        <v>7</v>
      </c>
      <c r="I4" s="38">
        <v>23.600000381469727</v>
      </c>
      <c r="J4" s="39" t="s">
        <v>8</v>
      </c>
      <c r="Q4" s="275"/>
    </row>
    <row r="5" spans="1:18" ht="15.75" customHeight="1" x14ac:dyDescent="0.3">
      <c r="B5" s="5" t="s">
        <v>9</v>
      </c>
      <c r="C5" s="355">
        <v>44963</v>
      </c>
      <c r="D5" s="354"/>
      <c r="E5" s="226" t="str">
        <f ca="1">IF(C5+30&gt;=TODAY(),"Patience Premium","")</f>
        <v>Patience Premium</v>
      </c>
      <c r="G5" s="5" t="s">
        <v>10</v>
      </c>
      <c r="I5" s="331">
        <v>2516633171</v>
      </c>
      <c r="J5" s="332"/>
      <c r="L5" s="274"/>
      <c r="M5" s="274"/>
      <c r="N5" s="274"/>
      <c r="O5" s="274"/>
      <c r="P5" s="274"/>
      <c r="Q5" s="274"/>
      <c r="R5" s="142"/>
    </row>
    <row r="6" spans="1:18" ht="15.75" customHeight="1" x14ac:dyDescent="0.3">
      <c r="B6" s="12" t="s">
        <v>11</v>
      </c>
      <c r="C6" s="356">
        <v>45001</v>
      </c>
      <c r="D6" s="313"/>
      <c r="E6" s="226"/>
      <c r="G6" s="240" t="s">
        <v>12</v>
      </c>
      <c r="H6" s="239"/>
      <c r="I6" s="362">
        <f>I4*I5/1000000</f>
        <v>59392.543795619371</v>
      </c>
      <c r="J6" s="363"/>
      <c r="L6" s="274"/>
      <c r="M6" s="274"/>
      <c r="N6" s="274"/>
      <c r="O6" s="274"/>
      <c r="P6" s="274"/>
      <c r="Q6" s="274"/>
    </row>
    <row r="7" spans="1:18" ht="15.75" customHeight="1" x14ac:dyDescent="0.3">
      <c r="B7" s="245" t="s">
        <v>13</v>
      </c>
      <c r="C7" s="253">
        <f>(Data!C43)/I4</f>
        <v>8.7288734724684083E-2</v>
      </c>
      <c r="D7" s="253">
        <f>(Data!C44)/I4</f>
        <v>1.6278137594626964E-2</v>
      </c>
      <c r="E7" s="276"/>
      <c r="F7" s="6"/>
    </row>
    <row r="8" spans="1:18" ht="15.75" customHeight="1" x14ac:dyDescent="0.3">
      <c r="C8" s="179"/>
      <c r="E8" s="6"/>
      <c r="G8" s="22" t="s">
        <v>14</v>
      </c>
      <c r="H8" s="238"/>
      <c r="I8" s="6"/>
      <c r="J8" s="6"/>
    </row>
    <row r="9" spans="1:18" ht="15.75" customHeight="1" x14ac:dyDescent="0.3">
      <c r="B9" s="22" t="s">
        <v>15</v>
      </c>
      <c r="D9" s="12"/>
      <c r="E9" s="5"/>
      <c r="G9" s="5" t="s">
        <v>16</v>
      </c>
      <c r="I9" s="225">
        <f>IF(Data!F3&lt;=0,"NNI",I4/((Data!F3*I12)/(I5/Data!C4)))</f>
        <v>47.544463493131097</v>
      </c>
      <c r="J9" s="62">
        <f>IF(I9="NNI","NNI",1/I9)</f>
        <v>2.1032943197360366E-2</v>
      </c>
    </row>
    <row r="10" spans="1:18" ht="15.75" customHeight="1" x14ac:dyDescent="0.3">
      <c r="B10" s="19" t="s">
        <v>17</v>
      </c>
      <c r="C10" s="255" t="s">
        <v>18</v>
      </c>
      <c r="D10" s="229">
        <v>2.9100000000000001E-2</v>
      </c>
      <c r="E10" s="5"/>
      <c r="G10" s="5" t="s">
        <v>19</v>
      </c>
      <c r="I10" s="244">
        <f>I4/(Data!C28*I12*Data!C4/Common_Shares)</f>
        <v>0.20615338833629079</v>
      </c>
      <c r="J10" s="236">
        <f>IF('Asset Model'!D60/'FCF Model'!C13&lt;0,"Negative EV",'Asset Model'!D60/'FCF Model'!C13)</f>
        <v>0.72551592293458078</v>
      </c>
    </row>
    <row r="11" spans="1:18" ht="15.75" customHeight="1" x14ac:dyDescent="0.3">
      <c r="B11" s="121" t="s">
        <v>20</v>
      </c>
      <c r="C11" s="336">
        <v>9.1499999999999998E-2</v>
      </c>
      <c r="D11" s="336"/>
      <c r="E11" s="13"/>
      <c r="G11" s="5" t="s">
        <v>21</v>
      </c>
      <c r="H11" s="6"/>
      <c r="I11" s="343" t="s">
        <v>8</v>
      </c>
      <c r="J11" s="344"/>
    </row>
    <row r="12" spans="1:18" ht="15.75" customHeight="1" x14ac:dyDescent="0.3">
      <c r="B12" s="19" t="s">
        <v>22</v>
      </c>
      <c r="C12" s="364">
        <v>0.2</v>
      </c>
      <c r="D12" s="364"/>
      <c r="E12" s="5"/>
      <c r="G12" s="240" t="s">
        <v>23</v>
      </c>
      <c r="H12" s="239"/>
      <c r="I12" s="241">
        <v>1</v>
      </c>
      <c r="J12" s="242" t="str">
        <f>IF(I11=Dashboard!J4,J4,I11&amp;"/"&amp;Dashboard!J4)</f>
        <v>HKD</v>
      </c>
    </row>
    <row r="13" spans="1:18" ht="15.75" customHeight="1" x14ac:dyDescent="0.3">
      <c r="C13" s="6"/>
      <c r="D13" s="6"/>
    </row>
    <row r="14" spans="1:18" ht="15.75" customHeight="1" x14ac:dyDescent="0.3">
      <c r="A14" s="10"/>
      <c r="B14" s="21" t="s">
        <v>24</v>
      </c>
      <c r="C14" s="232" t="s">
        <v>25</v>
      </c>
      <c r="D14" s="271">
        <f>IF('FCF Model'!C57&lt;0, "Error", 'FCF Model'!C57)</f>
        <v>22.251532410070769</v>
      </c>
      <c r="E14" s="239"/>
      <c r="F14" s="286"/>
      <c r="G14" s="287"/>
      <c r="H14" s="160"/>
      <c r="I14" s="12"/>
      <c r="J14" s="6"/>
      <c r="L14" s="6"/>
      <c r="M14" s="6"/>
    </row>
    <row r="15" spans="1:18" ht="15.75" customHeight="1" x14ac:dyDescent="0.3">
      <c r="A15" s="6"/>
      <c r="B15" s="179"/>
      <c r="C15" s="155" t="s">
        <v>26</v>
      </c>
      <c r="D15" s="155" t="s">
        <v>27</v>
      </c>
      <c r="E15" s="97" t="s">
        <v>28</v>
      </c>
      <c r="F15" s="97" t="s">
        <v>29</v>
      </c>
      <c r="G15" s="170" t="s">
        <v>30</v>
      </c>
      <c r="H15" s="170" t="s">
        <v>31</v>
      </c>
      <c r="I15" s="170" t="s">
        <v>32</v>
      </c>
      <c r="K15" s="6"/>
    </row>
    <row r="16" spans="1:18" ht="15.75" customHeight="1" x14ac:dyDescent="0.3">
      <c r="B16" s="237">
        <f>I4</f>
        <v>23.600000381469727</v>
      </c>
      <c r="C16" s="235">
        <f>I9</f>
        <v>47.544463493131097</v>
      </c>
      <c r="D16" s="256">
        <f>I10</f>
        <v>0.20615338833629079</v>
      </c>
      <c r="E16" s="282">
        <f>D14/B16-1</f>
        <v>-5.7138472440777965E-2</v>
      </c>
      <c r="F16" s="346">
        <f ca="1">$C$12*(2-'Qualitative Analysis'!$E$13+IF($C$5+30&gt;=TODAY(),0.2,0))</f>
        <v>0.26222222222222225</v>
      </c>
      <c r="G16" s="294">
        <f ca="1">E16-F16</f>
        <v>-0.31936069466300021</v>
      </c>
      <c r="H16" s="307">
        <f>Data!C43</f>
        <v>2.0600141728005541</v>
      </c>
      <c r="I16" s="297">
        <f>H16/B16</f>
        <v>8.7288734724684083E-2</v>
      </c>
    </row>
    <row r="17" spans="1:11" ht="15.75" customHeight="1" x14ac:dyDescent="0.3">
      <c r="B17" s="291">
        <v>17</v>
      </c>
      <c r="C17" s="288">
        <f>IF(Data!F3&lt;=0,"NNI",B17/((Data!F3*I12)/(I5/Data!C4)))</f>
        <v>34.248129928754402</v>
      </c>
      <c r="D17" s="289">
        <f>B17/(Data!C28*I12*Data!C4/Common_Shares)</f>
        <v>0.14850031970629521</v>
      </c>
      <c r="E17" s="290">
        <f>D14/B17-1</f>
        <v>0.30891367118063351</v>
      </c>
      <c r="F17" s="347"/>
      <c r="G17" s="295">
        <f ca="1">E17-F16</f>
        <v>4.6691448958411264E-2</v>
      </c>
      <c r="H17" s="308"/>
      <c r="I17" s="298">
        <f>H16/B17</f>
        <v>0.12117730428238553</v>
      </c>
    </row>
    <row r="18" spans="1:11" ht="15.75" customHeight="1" x14ac:dyDescent="0.3">
      <c r="B18" s="292">
        <v>16</v>
      </c>
      <c r="C18" s="236">
        <f>IF(Data!F3&lt;=0,"NNI",B18/((Data!F3*I12)/(I5/Data!C4)))</f>
        <v>32.233534050592382</v>
      </c>
      <c r="D18" s="257">
        <f>B18/(Data!C28*I12*Data!C4/Common_Shares)</f>
        <v>0.13976500678239548</v>
      </c>
      <c r="E18" s="283">
        <f>D14/B18-1</f>
        <v>0.39072077562942309</v>
      </c>
      <c r="F18" s="348"/>
      <c r="G18" s="296">
        <f ca="1">E18-F16</f>
        <v>0.12849855340720084</v>
      </c>
      <c r="H18" s="309"/>
      <c r="I18" s="299">
        <f>H16/B18</f>
        <v>0.12875088580003463</v>
      </c>
    </row>
    <row r="19" spans="1:11" ht="15.65" customHeight="1" x14ac:dyDescent="0.3">
      <c r="E19" s="6"/>
      <c r="H19" s="6"/>
      <c r="K19" s="6"/>
    </row>
    <row r="20" spans="1:11" ht="15.65" customHeight="1" x14ac:dyDescent="0.3">
      <c r="B20" s="22" t="s">
        <v>33</v>
      </c>
      <c r="D20" s="233" t="s">
        <v>34</v>
      </c>
      <c r="F20" s="97" t="s">
        <v>35</v>
      </c>
      <c r="G20" s="269" t="s">
        <v>36</v>
      </c>
      <c r="H20" s="155" t="s">
        <v>37</v>
      </c>
      <c r="I20" s="233" t="s">
        <v>38</v>
      </c>
      <c r="K20" s="6"/>
    </row>
    <row r="21" spans="1:11" ht="15.65" customHeight="1" x14ac:dyDescent="0.3">
      <c r="B21" s="237">
        <f>I4</f>
        <v>23.600000381469727</v>
      </c>
      <c r="C21" s="265" t="s">
        <v>39</v>
      </c>
      <c r="D21" s="263">
        <f>B21-F21</f>
        <v>26.839983901499391</v>
      </c>
      <c r="E21" s="266" t="s">
        <v>40</v>
      </c>
      <c r="F21" s="267">
        <f>H21+I21</f>
        <v>-3.2399835200296643</v>
      </c>
      <c r="G21" s="268"/>
      <c r="H21" s="264">
        <f>'FCF Model'!D24/(Dashboard!I5/Data!C4)</f>
        <v>22.933656229710405</v>
      </c>
      <c r="I21" s="263">
        <f>('FCF Model'!D25-'FCF Model'!D26-'FCF Model'!D27)/(Dashboard!I5/Data!C4)</f>
        <v>-26.173639749740069</v>
      </c>
      <c r="K21" s="6"/>
    </row>
    <row r="22" spans="1:11" ht="15.75" customHeight="1" x14ac:dyDescent="0.3">
      <c r="E22" s="6"/>
      <c r="K22" s="6"/>
    </row>
    <row r="23" spans="1:11" ht="15.75" customHeight="1" x14ac:dyDescent="0.3">
      <c r="A23" s="4"/>
      <c r="B23" s="21" t="s">
        <v>41</v>
      </c>
      <c r="C23" s="8"/>
      <c r="D23" s="12"/>
      <c r="E23" s="12"/>
      <c r="F23" s="12"/>
      <c r="G23" s="12"/>
      <c r="H23" s="12"/>
      <c r="I23" s="12"/>
      <c r="J23" s="12"/>
    </row>
    <row r="24" spans="1:11" ht="15.75" customHeight="1" x14ac:dyDescent="0.3">
      <c r="A24" s="6"/>
      <c r="B24" s="25" t="s">
        <v>42</v>
      </c>
      <c r="C24" s="357"/>
      <c r="D24" s="358"/>
      <c r="E24" s="358"/>
      <c r="F24" s="358"/>
      <c r="G24" s="358"/>
      <c r="H24" s="358"/>
      <c r="I24" s="358"/>
      <c r="J24" s="359"/>
      <c r="K24" s="6"/>
    </row>
    <row r="25" spans="1:11" ht="52.5" customHeight="1" x14ac:dyDescent="0.3">
      <c r="A25" s="6"/>
      <c r="B25" s="25" t="s">
        <v>43</v>
      </c>
      <c r="C25" s="310"/>
      <c r="D25" s="311"/>
      <c r="E25" s="311"/>
      <c r="F25" s="311"/>
      <c r="G25" s="310"/>
      <c r="H25" s="310"/>
      <c r="I25" s="311"/>
      <c r="J25" s="311"/>
      <c r="K25" s="6"/>
    </row>
    <row r="26" spans="1:11" ht="52.5" customHeight="1" x14ac:dyDescent="0.3">
      <c r="A26" s="6"/>
      <c r="B26" s="26" t="s">
        <v>44</v>
      </c>
      <c r="C26" s="312"/>
      <c r="D26" s="313"/>
      <c r="E26" s="313"/>
      <c r="F26" s="313"/>
      <c r="G26" s="312"/>
      <c r="H26" s="312"/>
      <c r="I26" s="313"/>
      <c r="J26" s="313"/>
      <c r="K26" s="6"/>
    </row>
    <row r="27" spans="1:11" ht="15.75" customHeight="1" x14ac:dyDescent="0.3">
      <c r="B27" s="6"/>
      <c r="C27" s="6"/>
      <c r="D27" s="6"/>
      <c r="E27" s="6"/>
      <c r="F27" s="9"/>
      <c r="G27" s="6"/>
      <c r="H27" s="6"/>
      <c r="I27" s="6"/>
      <c r="J27" s="6"/>
    </row>
    <row r="28" spans="1:11" ht="15.75" customHeight="1" x14ac:dyDescent="0.3">
      <c r="A28" s="4"/>
      <c r="B28" s="21" t="s">
        <v>45</v>
      </c>
      <c r="C28" s="23" t="s">
        <v>46</v>
      </c>
      <c r="D28" s="40">
        <v>700000</v>
      </c>
      <c r="E28" s="12"/>
      <c r="F28" s="8"/>
      <c r="G28" s="12"/>
      <c r="H28" s="239"/>
      <c r="I28" s="6"/>
      <c r="J28" s="6"/>
    </row>
    <row r="29" spans="1:11" ht="15.75" customHeight="1" x14ac:dyDescent="0.3">
      <c r="B29" s="24" t="s">
        <v>47</v>
      </c>
      <c r="C29" s="334"/>
      <c r="D29" s="335"/>
      <c r="E29" s="334"/>
      <c r="F29" s="335"/>
      <c r="G29" s="339"/>
      <c r="H29" s="340"/>
      <c r="I29" s="338" t="s">
        <v>48</v>
      </c>
      <c r="J29" s="338"/>
      <c r="K29" s="6"/>
    </row>
    <row r="30" spans="1:11" ht="15.75" customHeight="1" x14ac:dyDescent="0.3">
      <c r="B30" s="24" t="s">
        <v>49</v>
      </c>
      <c r="C30" s="337">
        <f>C34/D28</f>
        <v>0</v>
      </c>
      <c r="D30" s="326"/>
      <c r="E30" s="345">
        <f>E34/D28</f>
        <v>0</v>
      </c>
      <c r="F30" s="326"/>
      <c r="G30" s="341">
        <f>G34/D28</f>
        <v>0</v>
      </c>
      <c r="H30" s="342"/>
      <c r="I30" s="302">
        <f>C30+E30+G30</f>
        <v>0</v>
      </c>
      <c r="J30" s="302"/>
      <c r="K30" s="6"/>
    </row>
    <row r="31" spans="1:11" ht="15.75" customHeight="1" x14ac:dyDescent="0.3">
      <c r="B31" s="24" t="s">
        <v>50</v>
      </c>
      <c r="C31" s="327"/>
      <c r="D31" s="311"/>
      <c r="E31" s="327"/>
      <c r="F31" s="311"/>
      <c r="G31" s="331"/>
      <c r="H31" s="332"/>
      <c r="I31" s="317">
        <f>C31+E31+G31</f>
        <v>0</v>
      </c>
      <c r="J31" s="317"/>
      <c r="K31" s="6"/>
    </row>
    <row r="32" spans="1:11" ht="15.75" customHeight="1" x14ac:dyDescent="0.3">
      <c r="B32" s="24" t="s">
        <v>51</v>
      </c>
      <c r="C32" s="328"/>
      <c r="D32" s="311"/>
      <c r="E32" s="328"/>
      <c r="F32" s="311"/>
      <c r="G32" s="303"/>
      <c r="H32" s="304"/>
      <c r="I32" s="333"/>
      <c r="J32" s="333"/>
      <c r="K32" s="6"/>
    </row>
    <row r="33" spans="2:11" ht="15.75" customHeight="1" x14ac:dyDescent="0.3">
      <c r="B33" s="24" t="s">
        <v>52</v>
      </c>
      <c r="C33" s="315">
        <f>C32*$I$5/1000000</f>
        <v>0</v>
      </c>
      <c r="D33" s="322"/>
      <c r="E33" s="315">
        <f>E32*$I$5/1000000</f>
        <v>0</v>
      </c>
      <c r="F33" s="322"/>
      <c r="G33" s="305">
        <f>G32*$I$5/1000000</f>
        <v>0</v>
      </c>
      <c r="H33" s="306"/>
      <c r="I33" s="301"/>
      <c r="J33" s="301"/>
      <c r="K33" s="6"/>
    </row>
    <row r="34" spans="2:11" ht="15.75" customHeight="1" x14ac:dyDescent="0.3">
      <c r="B34" s="2" t="s">
        <v>53</v>
      </c>
      <c r="C34" s="323">
        <f>C31*C32</f>
        <v>0</v>
      </c>
      <c r="D34" s="324"/>
      <c r="E34" s="316">
        <f>E31*E32</f>
        <v>0</v>
      </c>
      <c r="F34" s="325"/>
      <c r="G34" s="329">
        <f>G31*G32</f>
        <v>0</v>
      </c>
      <c r="H34" s="330"/>
      <c r="I34" s="316">
        <f>C34+E34+G34</f>
        <v>0</v>
      </c>
      <c r="J34" s="316"/>
      <c r="K34" s="6"/>
    </row>
    <row r="35" spans="2:11" ht="15.75" customHeight="1" x14ac:dyDescent="0.3">
      <c r="B35" s="1" t="s">
        <v>54</v>
      </c>
      <c r="C35" s="318"/>
      <c r="D35" s="319"/>
      <c r="E35" s="314" t="str">
        <f>IF(C34=0,"-",(C34+E34)/(C31+E31))</f>
        <v>-</v>
      </c>
      <c r="F35" s="326"/>
      <c r="G35" s="221"/>
      <c r="H35" s="221"/>
      <c r="I35" s="314" t="str">
        <f>IF(I34=0,"",I34/I31)</f>
        <v/>
      </c>
      <c r="J35" s="314"/>
      <c r="K35" s="6"/>
    </row>
    <row r="36" spans="2:11" ht="15.75" customHeight="1" x14ac:dyDescent="0.3">
      <c r="B36" s="1" t="s">
        <v>55</v>
      </c>
      <c r="C36" s="320"/>
      <c r="D36" s="321"/>
      <c r="E36" s="315" t="str">
        <f>IF(E35="-","-",E35*$I$5/1000000)</f>
        <v>-</v>
      </c>
      <c r="F36" s="322"/>
      <c r="G36" s="222"/>
      <c r="H36" s="222"/>
      <c r="I36" s="315" t="str">
        <f>IF(I35="","",I35*$I$5/1000000)</f>
        <v/>
      </c>
      <c r="J36" s="315"/>
      <c r="K36" s="6"/>
    </row>
    <row r="37" spans="2:11" ht="15.75" customHeight="1" x14ac:dyDescent="0.3">
      <c r="C37" s="6"/>
      <c r="D37" s="6"/>
      <c r="E37" s="6"/>
      <c r="F37" s="6"/>
      <c r="G37" s="6"/>
      <c r="H37" s="6"/>
      <c r="I37" s="6"/>
      <c r="J37" s="6"/>
      <c r="K37" s="6"/>
    </row>
    <row r="38" spans="2:11" ht="15.75" customHeight="1" x14ac:dyDescent="0.3">
      <c r="I38" s="6"/>
      <c r="J38" s="6"/>
    </row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mergeCells count="48">
    <mergeCell ref="E33:F33"/>
    <mergeCell ref="E31:F31"/>
    <mergeCell ref="E30:F30"/>
    <mergeCell ref="F16:F18"/>
    <mergeCell ref="C2:D2"/>
    <mergeCell ref="C3:D3"/>
    <mergeCell ref="C4:D4"/>
    <mergeCell ref="C5:D5"/>
    <mergeCell ref="C29:D29"/>
    <mergeCell ref="C6:D6"/>
    <mergeCell ref="C24:J24"/>
    <mergeCell ref="C26:F26"/>
    <mergeCell ref="I3:J3"/>
    <mergeCell ref="I5:J5"/>
    <mergeCell ref="I6:J6"/>
    <mergeCell ref="C12:D12"/>
    <mergeCell ref="E29:F29"/>
    <mergeCell ref="C11:D11"/>
    <mergeCell ref="C30:D30"/>
    <mergeCell ref="I29:J29"/>
    <mergeCell ref="C32:D32"/>
    <mergeCell ref="G29:H29"/>
    <mergeCell ref="G30:H30"/>
    <mergeCell ref="I11:J11"/>
    <mergeCell ref="C25:F25"/>
    <mergeCell ref="I35:J35"/>
    <mergeCell ref="I36:J36"/>
    <mergeCell ref="I34:J34"/>
    <mergeCell ref="I31:J31"/>
    <mergeCell ref="C35:D35"/>
    <mergeCell ref="C36:D36"/>
    <mergeCell ref="E36:F36"/>
    <mergeCell ref="C34:D34"/>
    <mergeCell ref="E34:F34"/>
    <mergeCell ref="E35:F35"/>
    <mergeCell ref="C33:D33"/>
    <mergeCell ref="C31:D31"/>
    <mergeCell ref="E32:F32"/>
    <mergeCell ref="G34:H34"/>
    <mergeCell ref="G31:H31"/>
    <mergeCell ref="I32:J32"/>
    <mergeCell ref="I33:J33"/>
    <mergeCell ref="I30:J30"/>
    <mergeCell ref="G32:H32"/>
    <mergeCell ref="G33:H33"/>
    <mergeCell ref="H16:H18"/>
    <mergeCell ref="G25:J25"/>
    <mergeCell ref="G26:J26"/>
  </mergeCells>
  <conditionalFormatting sqref="E21">
    <cfRule type="cellIs" dxfId="11" priority="18" operator="lessThan">
      <formula>0</formula>
    </cfRule>
  </conditionalFormatting>
  <conditionalFormatting sqref="C29:G29 I29 C31:G32 I31:I32">
    <cfRule type="containsBlanks" priority="12">
      <formula>LEN(TRIM(C29))=0</formula>
    </cfRule>
  </conditionalFormatting>
  <conditionalFormatting sqref="G16:G18">
    <cfRule type="cellIs" dxfId="10" priority="8" operator="lessThanOrEqual">
      <formula>0</formula>
    </cfRule>
  </conditionalFormatting>
  <conditionalFormatting sqref="F21">
    <cfRule type="cellIs" dxfId="9" priority="3" operator="greaterThan">
      <formula>$B$16</formula>
    </cfRule>
  </conditionalFormatting>
  <dataValidations count="3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7"/>
  <sheetViews>
    <sheetView showGridLines="0" topLeftCell="A19" zoomScaleNormal="100" workbookViewId="0">
      <selection activeCell="D30" sqref="D30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42"/>
      <c r="B1" s="43"/>
      <c r="C1" s="44"/>
      <c r="D1" s="44"/>
      <c r="E1" s="44"/>
      <c r="F1" s="44"/>
    </row>
    <row r="2" spans="1:14" ht="15.75" customHeight="1" x14ac:dyDescent="0.3">
      <c r="A2" s="45"/>
      <c r="B2" s="11" t="s">
        <v>56</v>
      </c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</row>
    <row r="3" spans="1:14" ht="15.75" customHeight="1" x14ac:dyDescent="0.3">
      <c r="A3" s="9"/>
      <c r="B3" s="5" t="s">
        <v>57</v>
      </c>
      <c r="C3" s="270">
        <v>44742</v>
      </c>
      <c r="D3" s="6"/>
      <c r="E3" s="47">
        <v>1</v>
      </c>
      <c r="F3" s="48">
        <f t="array" ref="F3">AVERAGE(C19:INDEX(C19:M19,1,E3))</f>
        <v>1249200</v>
      </c>
      <c r="G3" s="6"/>
      <c r="H3" s="5" t="e">
        <f>"Past "&amp;'FCF Model'!#REF!&amp;" yrs Revenue CAGR"</f>
        <v>#REF!</v>
      </c>
      <c r="I3" s="6"/>
      <c r="J3" s="49" t="e" cm="1">
        <f t="array" ref="J3">(C7/INDEX(C7:L7,0,'FCF Model'!#REF!+1))^(1/('FCF Model'!#REF!))-1</f>
        <v>#REF!</v>
      </c>
      <c r="K3" s="6"/>
      <c r="L3" s="6"/>
      <c r="M3" s="6"/>
    </row>
    <row r="4" spans="1:14" ht="15.75" customHeight="1" x14ac:dyDescent="0.3">
      <c r="A4" s="9"/>
      <c r="B4" s="5" t="s">
        <v>58</v>
      </c>
      <c r="C4" s="41">
        <v>1000</v>
      </c>
      <c r="D4" s="6"/>
      <c r="E4" s="50">
        <f>E3</f>
        <v>1</v>
      </c>
      <c r="F4" s="51">
        <f>AVERAGE(C16:INDEX(C16:M16,1,E4))</f>
        <v>6707100</v>
      </c>
      <c r="G4" s="6"/>
      <c r="H4" s="3" t="e">
        <f>"Past "&amp;'FCF Model'!#REF!&amp;" yrs EBIT CAGR"</f>
        <v>#REF!</v>
      </c>
      <c r="I4" s="6"/>
      <c r="J4" s="52" t="str" cm="1">
        <f t="array" ref="J4">IFERROR((C14/INDEX(C14:L14,0,'FCF Model'!#REF!))^(1/('FCF Model'!#REF!-1))-1,"NA")</f>
        <v>NA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53"/>
      <c r="C6" s="54" t="str">
        <f>"FY "&amp;YEAR($C$3)</f>
        <v>FY 2022</v>
      </c>
      <c r="D6" s="55" t="str">
        <f>"FY "&amp;YEAR($C$3)-1</f>
        <v>FY 2021</v>
      </c>
      <c r="E6" s="55" t="str">
        <f>"FY "&amp;YEAR($C$3)-2</f>
        <v>FY 2020</v>
      </c>
      <c r="F6" s="55" t="str">
        <f>"FY "&amp;YEAR($C$3)-3</f>
        <v>FY 2019</v>
      </c>
      <c r="G6" s="55" t="str">
        <f>"FY "&amp;YEAR($C$3)-4</f>
        <v>FY 2018</v>
      </c>
      <c r="H6" s="55" t="str">
        <f>"FY "&amp;YEAR($C$3)-5</f>
        <v>FY 2017</v>
      </c>
      <c r="I6" s="55" t="str">
        <f>"FY "&amp;YEAR($C$3)-6</f>
        <v>FY 2016</v>
      </c>
      <c r="J6" s="55" t="str">
        <f>"FY "&amp;YEAR($C$3)-7</f>
        <v>FY 2015</v>
      </c>
      <c r="K6" s="55" t="str">
        <f>"FY "&amp;YEAR($C$3)-8</f>
        <v>FY 2014</v>
      </c>
      <c r="L6" s="55" t="str">
        <f>"FY "&amp;YEAR($C$3)-9</f>
        <v>FY 2013</v>
      </c>
      <c r="M6" s="55" t="str">
        <f>"FY "&amp;YEAR($C$3)-10</f>
        <v>FY 2012</v>
      </c>
    </row>
    <row r="7" spans="1:14" ht="15.75" customHeight="1" x14ac:dyDescent="0.3">
      <c r="A7" s="9"/>
      <c r="B7" s="56" t="s">
        <v>59</v>
      </c>
      <c r="C7" s="41">
        <v>68212700</v>
      </c>
      <c r="D7" s="41">
        <v>68233200</v>
      </c>
      <c r="E7" s="41">
        <v>59007800</v>
      </c>
      <c r="F7" s="41">
        <v>76763600</v>
      </c>
      <c r="G7" s="41"/>
      <c r="H7" s="41"/>
      <c r="I7" s="41"/>
      <c r="J7" s="41"/>
      <c r="K7" s="41"/>
      <c r="L7" s="41"/>
      <c r="M7" s="41"/>
      <c r="N7" s="6"/>
    </row>
    <row r="8" spans="1:14" ht="15.75" customHeight="1" x14ac:dyDescent="0.3">
      <c r="A8" s="9"/>
      <c r="B8" s="57" t="s">
        <v>60</v>
      </c>
      <c r="C8" s="14">
        <f t="shared" ref="C8:L8" si="0">IF(D7="","",C7/D7-1)</f>
        <v>-3.0044025489062154E-4</v>
      </c>
      <c r="D8" s="14">
        <f t="shared" si="0"/>
        <v>0.15634204291636022</v>
      </c>
      <c r="E8" s="14">
        <f t="shared" si="0"/>
        <v>-0.23130494140451985</v>
      </c>
      <c r="F8" s="14" t="str">
        <f t="shared" si="0"/>
        <v/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 x14ac:dyDescent="0.3">
      <c r="A9" s="9"/>
      <c r="B9" s="57" t="s">
        <v>61</v>
      </c>
      <c r="C9" s="41">
        <v>49967000</v>
      </c>
      <c r="D9" s="41">
        <v>49082000</v>
      </c>
      <c r="E9" s="41">
        <v>39076600</v>
      </c>
      <c r="F9" s="41">
        <v>51742100</v>
      </c>
      <c r="G9" s="41"/>
      <c r="H9" s="41"/>
      <c r="I9" s="41"/>
      <c r="J9" s="41"/>
      <c r="K9" s="41"/>
      <c r="L9" s="41"/>
      <c r="M9" s="41"/>
      <c r="N9" s="6"/>
    </row>
    <row r="10" spans="1:14" ht="15.75" customHeight="1" x14ac:dyDescent="0.3">
      <c r="A10" s="9"/>
      <c r="B10" s="57" t="s">
        <v>62</v>
      </c>
      <c r="C10" s="14">
        <f t="shared" ref="C10:M10" si="1">IF(C7="","",(C7-C9)/C7)</f>
        <v>0.26748244828309098</v>
      </c>
      <c r="D10" s="14">
        <f t="shared" si="1"/>
        <v>0.28067275168099987</v>
      </c>
      <c r="E10" s="14">
        <f t="shared" si="1"/>
        <v>0.33777229451021729</v>
      </c>
      <c r="F10" s="14">
        <f t="shared" si="1"/>
        <v>0.32595527046673162</v>
      </c>
      <c r="G10" s="14" t="str">
        <f t="shared" si="1"/>
        <v/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 x14ac:dyDescent="0.3">
      <c r="A11" s="9"/>
      <c r="B11" s="57" t="s">
        <v>63</v>
      </c>
      <c r="C11" s="41">
        <v>9302900</v>
      </c>
      <c r="D11" s="41">
        <v>9090100</v>
      </c>
      <c r="E11" s="41">
        <v>9058700</v>
      </c>
      <c r="F11" s="41">
        <v>8459700</v>
      </c>
      <c r="G11" s="41"/>
      <c r="H11" s="41"/>
      <c r="I11" s="41"/>
      <c r="J11" s="41"/>
      <c r="K11" s="41"/>
      <c r="L11" s="41"/>
      <c r="M11" s="41"/>
      <c r="N11" s="6"/>
    </row>
    <row r="12" spans="1:14" ht="15.75" customHeight="1" x14ac:dyDescent="0.3">
      <c r="A12" s="9"/>
      <c r="B12" s="57" t="s">
        <v>64</v>
      </c>
      <c r="C12" s="14">
        <f t="shared" ref="C12:M12" si="2">IF(C7="","",C10-C13)</f>
        <v>0.13638076194022522</v>
      </c>
      <c r="D12" s="14">
        <f t="shared" si="2"/>
        <v>0.13322107126735958</v>
      </c>
      <c r="E12" s="14">
        <f t="shared" si="2"/>
        <v>0.15351699266876581</v>
      </c>
      <c r="F12" s="14">
        <f t="shared" si="2"/>
        <v>0.11020457612722695</v>
      </c>
      <c r="G12" s="14" t="str">
        <f t="shared" si="2"/>
        <v/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 x14ac:dyDescent="0.3">
      <c r="A13" s="9"/>
      <c r="B13" s="57" t="s">
        <v>65</v>
      </c>
      <c r="C13" s="14">
        <f t="shared" ref="C13:M13" si="3">IF(C14="","",C14/C7)</f>
        <v>0.13110168634286576</v>
      </c>
      <c r="D13" s="14">
        <f t="shared" si="3"/>
        <v>0.14745168041364029</v>
      </c>
      <c r="E13" s="14">
        <f t="shared" si="3"/>
        <v>0.18425530184145147</v>
      </c>
      <c r="F13" s="14">
        <f t="shared" si="3"/>
        <v>0.21575069433950467</v>
      </c>
      <c r="G13" s="14" t="str">
        <f t="shared" si="3"/>
        <v/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 x14ac:dyDescent="0.3">
      <c r="A14" s="9"/>
      <c r="B14" s="57" t="s">
        <v>66</v>
      </c>
      <c r="C14" s="31">
        <f t="shared" ref="C14:M14" si="4">IF(C7="","",C7-C9-C11)</f>
        <v>8942800</v>
      </c>
      <c r="D14" s="31">
        <f t="shared" si="4"/>
        <v>10061100</v>
      </c>
      <c r="E14" s="31">
        <f t="shared" si="4"/>
        <v>10872500</v>
      </c>
      <c r="F14" s="31">
        <f t="shared" si="4"/>
        <v>16561800</v>
      </c>
      <c r="G14" s="31" t="str">
        <f t="shared" si="4"/>
        <v/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 x14ac:dyDescent="0.3">
      <c r="A15" s="9"/>
      <c r="B15" s="57" t="s">
        <v>67</v>
      </c>
      <c r="C15" s="14">
        <f>IF(D14="","",IF(ABS(C14+D14)=ABS(C14)+ABS(D14),IF(C14&lt;0,-1,1)*(C14-D14)/D14,"Turn"))</f>
        <v>-0.11115086819532656</v>
      </c>
      <c r="D15" s="14">
        <f t="shared" ref="D15:M15" si="5">IF(E14="","",IF(ABS(D14+E14)=ABS(D14)+ABS(E14),IF(D14&lt;0,-1,1)*(D14-E14)/E14,"Turn"))</f>
        <v>-7.4628650264428609E-2</v>
      </c>
      <c r="E15" s="14">
        <f t="shared" si="5"/>
        <v>-0.34351942421717446</v>
      </c>
      <c r="F15" s="14" t="str">
        <f t="shared" si="5"/>
        <v/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 x14ac:dyDescent="0.3">
      <c r="A16" s="9"/>
      <c r="B16" s="57" t="s">
        <v>68</v>
      </c>
      <c r="C16" s="251">
        <f>IF(C14="","",C14*(1-'FCF Model'!$D$14))</f>
        <v>6707100</v>
      </c>
      <c r="D16" s="251">
        <f>IF(D14="","",D14*(1-'FCF Model'!$D$14))</f>
        <v>7545825</v>
      </c>
      <c r="E16" s="251">
        <f>IF(E14="","",E14*(1-'FCF Model'!$D$14))</f>
        <v>8154375</v>
      </c>
      <c r="F16" s="251">
        <f>IF(F14="","",F14*(1-'FCF Model'!$D$14))</f>
        <v>12421350</v>
      </c>
      <c r="G16" s="251" t="str">
        <f>IF(G14="","",G14*(1-'FCF Model'!$D$14))</f>
        <v/>
      </c>
      <c r="H16" s="251" t="str">
        <f>IF(H14="","",H14*(1-'FCF Model'!$D$14))</f>
        <v/>
      </c>
      <c r="I16" s="251" t="str">
        <f>IF(I14="","",I14*(1-'FCF Model'!$D$14))</f>
        <v/>
      </c>
      <c r="J16" s="251" t="str">
        <f>IF(J14="","",J14*(1-'FCF Model'!$D$14))</f>
        <v/>
      </c>
      <c r="K16" s="251" t="str">
        <f>IF(K14="","",K14*(1-'FCF Model'!$D$14))</f>
        <v/>
      </c>
      <c r="L16" s="251" t="str">
        <f>IF(L14="","",L14*(1-'FCF Model'!$D$14))</f>
        <v/>
      </c>
      <c r="M16" s="251" t="str">
        <f>IF(M14="","",M14*(1-'FCF Model'!$D$14))</f>
        <v/>
      </c>
      <c r="N16" s="6"/>
    </row>
    <row r="17" spans="1:14" ht="15.75" customHeight="1" x14ac:dyDescent="0.3">
      <c r="A17" s="9"/>
      <c r="B17" s="250" t="s">
        <v>69</v>
      </c>
      <c r="C17" s="234">
        <f t="shared" ref="C17:M17" si="6">IF(C7="","",C16/C7)</f>
        <v>9.8326264757149326E-2</v>
      </c>
      <c r="D17" s="234">
        <f t="shared" si="6"/>
        <v>0.11058876031023021</v>
      </c>
      <c r="E17" s="234">
        <f t="shared" si="6"/>
        <v>0.13819147638108861</v>
      </c>
      <c r="F17" s="234">
        <f t="shared" si="6"/>
        <v>0.1618130207546285</v>
      </c>
      <c r="G17" s="234" t="str">
        <f t="shared" si="6"/>
        <v/>
      </c>
      <c r="H17" s="234" t="str">
        <f t="shared" si="6"/>
        <v/>
      </c>
      <c r="I17" s="234" t="str">
        <f t="shared" si="6"/>
        <v/>
      </c>
      <c r="J17" s="234" t="str">
        <f t="shared" si="6"/>
        <v/>
      </c>
      <c r="K17" s="234" t="str">
        <f t="shared" si="6"/>
        <v/>
      </c>
      <c r="L17" s="234" t="str">
        <f t="shared" si="6"/>
        <v/>
      </c>
      <c r="M17" s="234" t="str">
        <f t="shared" si="6"/>
        <v/>
      </c>
      <c r="N17" s="6"/>
    </row>
    <row r="18" spans="1:14" ht="15.75" customHeight="1" x14ac:dyDescent="0.3">
      <c r="A18" s="9"/>
      <c r="B18" s="57" t="s">
        <v>70</v>
      </c>
      <c r="C18" s="252">
        <v>2609300</v>
      </c>
      <c r="D18" s="252">
        <v>3094700</v>
      </c>
      <c r="E18" s="252">
        <v>4837900</v>
      </c>
      <c r="F18" s="252">
        <v>2472500</v>
      </c>
      <c r="G18" s="252"/>
      <c r="H18" s="252"/>
      <c r="I18" s="252"/>
      <c r="J18" s="252"/>
      <c r="K18" s="252"/>
      <c r="L18" s="252"/>
      <c r="M18" s="252"/>
      <c r="N18" s="6"/>
    </row>
    <row r="19" spans="1:14" ht="15.75" customHeight="1" x14ac:dyDescent="0.3">
      <c r="A19" s="9"/>
      <c r="B19" s="57" t="s">
        <v>71</v>
      </c>
      <c r="C19" s="41">
        <v>1249200</v>
      </c>
      <c r="D19" s="41">
        <v>1171600</v>
      </c>
      <c r="E19" s="41">
        <v>1096200</v>
      </c>
      <c r="F19" s="41">
        <v>18160100</v>
      </c>
      <c r="G19" s="41"/>
      <c r="H19" s="41"/>
      <c r="I19" s="41"/>
      <c r="J19" s="41"/>
      <c r="K19" s="41"/>
      <c r="L19" s="41"/>
      <c r="M19" s="41"/>
      <c r="N19" s="6"/>
    </row>
    <row r="20" spans="1:14" ht="15.75" customHeight="1" x14ac:dyDescent="0.3">
      <c r="A20" s="9"/>
      <c r="B20" s="57" t="s">
        <v>72</v>
      </c>
      <c r="C20" s="14">
        <f t="shared" ref="C20:M20" si="7">IF(C7="","",C19/C7)</f>
        <v>1.8313305293589023E-2</v>
      </c>
      <c r="D20" s="14">
        <f t="shared" si="7"/>
        <v>1.7170526957551457E-2</v>
      </c>
      <c r="E20" s="14">
        <f t="shared" si="7"/>
        <v>1.85772050474683E-2</v>
      </c>
      <c r="F20" s="14">
        <f t="shared" si="7"/>
        <v>0.23657176057402207</v>
      </c>
      <c r="G20" s="14" t="str">
        <f t="shared" si="7"/>
        <v/>
      </c>
      <c r="H20" s="14" t="str">
        <f t="shared" si="7"/>
        <v/>
      </c>
      <c r="I20" s="14" t="str">
        <f t="shared" si="7"/>
        <v/>
      </c>
      <c r="J20" s="14" t="str">
        <f t="shared" si="7"/>
        <v/>
      </c>
      <c r="K20" s="14" t="str">
        <f t="shared" si="7"/>
        <v/>
      </c>
      <c r="L20" s="14" t="str">
        <f t="shared" si="7"/>
        <v/>
      </c>
      <c r="M20" s="14" t="str">
        <f t="shared" si="7"/>
        <v/>
      </c>
      <c r="N20" s="6"/>
    </row>
    <row r="21" spans="1:14" ht="15.75" customHeight="1" x14ac:dyDescent="0.3">
      <c r="A21" s="9"/>
      <c r="B21" s="57" t="s">
        <v>73</v>
      </c>
      <c r="C21" s="58">
        <f>'Asset Model'!C26</f>
        <v>193167800</v>
      </c>
      <c r="D21" s="41">
        <v>208064700</v>
      </c>
      <c r="E21" s="41">
        <v>182271900</v>
      </c>
      <c r="F21" s="41">
        <v>150164700</v>
      </c>
      <c r="G21" s="41"/>
      <c r="H21" s="41"/>
      <c r="I21" s="41"/>
      <c r="J21" s="41"/>
      <c r="K21" s="41"/>
      <c r="L21" s="41"/>
      <c r="M21" s="41"/>
      <c r="N21" s="6"/>
    </row>
    <row r="22" spans="1:14" ht="15.75" customHeight="1" x14ac:dyDescent="0.3">
      <c r="A22" s="9"/>
      <c r="B22" s="57" t="s">
        <v>74</v>
      </c>
      <c r="C22" s="58">
        <f>'Asset Model'!H26</f>
        <v>172812800</v>
      </c>
      <c r="D22" s="41">
        <v>149561300</v>
      </c>
      <c r="E22" s="41">
        <v>152609400</v>
      </c>
      <c r="F22" s="41">
        <v>101256600</v>
      </c>
      <c r="G22" s="41"/>
      <c r="H22" s="41"/>
      <c r="I22" s="41"/>
      <c r="J22" s="41"/>
      <c r="K22" s="41"/>
      <c r="L22" s="41"/>
      <c r="M22" s="41"/>
      <c r="N22" s="6"/>
    </row>
    <row r="23" spans="1:14" ht="15.75" customHeight="1" x14ac:dyDescent="0.3">
      <c r="A23" s="9"/>
      <c r="B23" s="57" t="s">
        <v>75</v>
      </c>
      <c r="C23" s="58">
        <f>'Asset Model'!H11+'Asset Model'!H12</f>
        <v>51554800</v>
      </c>
      <c r="D23" s="41">
        <v>39186500</v>
      </c>
      <c r="E23" s="41">
        <v>56247000</v>
      </c>
      <c r="F23" s="41">
        <v>41776000</v>
      </c>
      <c r="G23" s="41"/>
      <c r="H23" s="41"/>
      <c r="I23" s="41"/>
      <c r="J23" s="41"/>
      <c r="K23" s="41"/>
      <c r="L23" s="41"/>
      <c r="M23" s="41"/>
      <c r="N23" s="6"/>
    </row>
    <row r="24" spans="1:14" ht="15.75" customHeight="1" x14ac:dyDescent="0.3">
      <c r="A24" s="9"/>
      <c r="B24" s="249" t="s">
        <v>76</v>
      </c>
      <c r="C24" s="246">
        <f>'Asset Model'!H12</f>
        <v>1285200</v>
      </c>
      <c r="D24" s="247">
        <v>1639200</v>
      </c>
      <c r="E24" s="247">
        <v>1227900</v>
      </c>
      <c r="F24" s="247">
        <v>0</v>
      </c>
      <c r="G24" s="247"/>
      <c r="H24" s="247"/>
      <c r="I24" s="247"/>
      <c r="J24" s="247"/>
      <c r="K24" s="247"/>
      <c r="L24" s="247"/>
      <c r="M24" s="247"/>
      <c r="N24" s="6"/>
    </row>
    <row r="25" spans="1:14" ht="15.75" customHeight="1" x14ac:dyDescent="0.3">
      <c r="A25" s="9"/>
      <c r="B25" s="57" t="s">
        <v>77</v>
      </c>
      <c r="C25" s="58">
        <f>'Asset Model'!H28+'Asset Model'!H29</f>
        <v>147556200</v>
      </c>
      <c r="D25" s="41">
        <v>143033100</v>
      </c>
      <c r="E25" s="41">
        <v>140547300</v>
      </c>
      <c r="F25" s="41">
        <v>114558600</v>
      </c>
      <c r="G25" s="41"/>
      <c r="H25" s="41"/>
      <c r="I25" s="41"/>
      <c r="J25" s="41"/>
      <c r="K25" s="41"/>
      <c r="L25" s="41"/>
      <c r="M25" s="41"/>
      <c r="N25" s="6"/>
    </row>
    <row r="26" spans="1:14" ht="15.75" customHeight="1" x14ac:dyDescent="0.3">
      <c r="A26" s="9"/>
      <c r="B26" s="249" t="s">
        <v>78</v>
      </c>
      <c r="C26" s="248">
        <f>'Asset Model'!H29</f>
        <v>4517300</v>
      </c>
      <c r="D26" s="247">
        <v>5204400</v>
      </c>
      <c r="E26" s="247">
        <v>5759400</v>
      </c>
      <c r="F26" s="247">
        <v>0</v>
      </c>
      <c r="G26" s="247"/>
      <c r="H26" s="247"/>
      <c r="I26" s="247"/>
      <c r="J26" s="247"/>
      <c r="K26" s="247"/>
      <c r="L26" s="247"/>
      <c r="M26" s="247"/>
      <c r="N26" s="6"/>
    </row>
    <row r="27" spans="1:14" ht="15.75" customHeight="1" x14ac:dyDescent="0.3">
      <c r="A27" s="9"/>
      <c r="B27" s="57" t="s">
        <v>79</v>
      </c>
      <c r="C27" s="31">
        <f>IF(C7="","",C23+C25)</f>
        <v>199111000</v>
      </c>
      <c r="D27" s="31">
        <f t="shared" ref="D27:M27" si="8">IF(D7="","",D23+D25)</f>
        <v>182219600</v>
      </c>
      <c r="E27" s="31">
        <f t="shared" si="8"/>
        <v>196794300</v>
      </c>
      <c r="F27" s="31">
        <f t="shared" si="8"/>
        <v>156334600</v>
      </c>
      <c r="G27" s="31" t="str">
        <f t="shared" si="8"/>
        <v/>
      </c>
      <c r="H27" s="31" t="str">
        <f t="shared" si="8"/>
        <v/>
      </c>
      <c r="I27" s="31" t="str">
        <f t="shared" si="8"/>
        <v/>
      </c>
      <c r="J27" s="31" t="str">
        <f t="shared" si="8"/>
        <v/>
      </c>
      <c r="K27" s="31" t="str">
        <f t="shared" si="8"/>
        <v/>
      </c>
      <c r="L27" s="31" t="str">
        <f t="shared" si="8"/>
        <v/>
      </c>
      <c r="M27" s="31" t="str">
        <f t="shared" si="8"/>
        <v/>
      </c>
      <c r="N27" s="6"/>
    </row>
    <row r="28" spans="1:14" ht="15.75" customHeight="1" x14ac:dyDescent="0.3">
      <c r="A28" s="9"/>
      <c r="B28" s="57" t="s">
        <v>80</v>
      </c>
      <c r="C28" s="58">
        <f>'Asset Model'!D3</f>
        <v>288098800</v>
      </c>
      <c r="D28" s="41">
        <v>304192400</v>
      </c>
      <c r="E28" s="41">
        <v>279745100</v>
      </c>
      <c r="F28" s="41">
        <v>275364500</v>
      </c>
      <c r="G28" s="41"/>
      <c r="H28" s="41"/>
      <c r="I28" s="41"/>
      <c r="J28" s="41"/>
      <c r="K28" s="41"/>
      <c r="L28" s="41"/>
      <c r="M28" s="41"/>
      <c r="N28" s="6"/>
    </row>
    <row r="29" spans="1:14" ht="15.75" customHeight="1" x14ac:dyDescent="0.3">
      <c r="A29" s="9"/>
      <c r="B29" s="249" t="s">
        <v>81</v>
      </c>
      <c r="C29" s="248">
        <f>'Asset Model'!H50</f>
        <v>0</v>
      </c>
      <c r="D29" s="247">
        <v>31925400</v>
      </c>
      <c r="E29" s="247">
        <v>29629800</v>
      </c>
      <c r="F29" s="247">
        <v>29994500</v>
      </c>
      <c r="G29" s="247"/>
      <c r="H29" s="247"/>
      <c r="I29" s="247"/>
      <c r="J29" s="247"/>
      <c r="K29" s="247"/>
      <c r="L29" s="247"/>
      <c r="M29" s="247"/>
      <c r="N29" s="6"/>
    </row>
    <row r="30" spans="1:14" ht="15.75" customHeight="1" x14ac:dyDescent="0.3">
      <c r="A30" s="9"/>
      <c r="B30" s="57" t="s">
        <v>82</v>
      </c>
      <c r="C30" s="58">
        <f>'Asset Model'!D59</f>
        <v>57715600</v>
      </c>
      <c r="D30" s="41">
        <v>61615000</v>
      </c>
      <c r="E30" s="41">
        <v>67291200</v>
      </c>
      <c r="F30" s="41">
        <v>63729100</v>
      </c>
      <c r="G30" s="41"/>
      <c r="H30" s="41"/>
      <c r="I30" s="41"/>
      <c r="J30" s="41"/>
      <c r="K30" s="41"/>
      <c r="L30" s="41"/>
      <c r="M30" s="41"/>
      <c r="N30" s="6"/>
    </row>
    <row r="31" spans="1:14" ht="15.75" customHeight="1" x14ac:dyDescent="0.3">
      <c r="A31" s="9"/>
      <c r="B31" s="57" t="s">
        <v>83</v>
      </c>
      <c r="C31" s="58">
        <f>'Asset Model'!C36+'Asset Model'!C37+'Asset Model'!C38</f>
        <v>47389100</v>
      </c>
      <c r="D31" s="41">
        <v>28301300</v>
      </c>
      <c r="E31" s="41">
        <v>37183000</v>
      </c>
      <c r="F31" s="41">
        <v>31024100</v>
      </c>
      <c r="G31" s="41"/>
      <c r="H31" s="41"/>
      <c r="I31" s="41"/>
      <c r="J31" s="41"/>
      <c r="K31" s="41"/>
      <c r="L31" s="41"/>
      <c r="M31" s="41"/>
      <c r="N31" s="6"/>
    </row>
    <row r="32" spans="1:14" ht="15.75" customHeight="1" x14ac:dyDescent="0.3">
      <c r="A32" s="9"/>
      <c r="B32" s="57" t="s">
        <v>84</v>
      </c>
      <c r="C32" s="14">
        <f t="shared" ref="C32:M32" si="9">IF(D7="","",(C31-D31)/C31)</f>
        <v>0.40278882696653873</v>
      </c>
      <c r="D32" s="14">
        <f t="shared" si="9"/>
        <v>-0.31382657333762054</v>
      </c>
      <c r="E32" s="14">
        <f t="shared" si="9"/>
        <v>0.16563752252373395</v>
      </c>
      <c r="F32" s="14" t="str">
        <f t="shared" si="9"/>
        <v/>
      </c>
      <c r="G32" s="14" t="str">
        <f t="shared" si="9"/>
        <v/>
      </c>
      <c r="H32" s="14" t="str">
        <f t="shared" si="9"/>
        <v/>
      </c>
      <c r="I32" s="14" t="str">
        <f t="shared" si="9"/>
        <v/>
      </c>
      <c r="J32" s="14" t="str">
        <f t="shared" si="9"/>
        <v/>
      </c>
      <c r="K32" s="14" t="str">
        <f t="shared" si="9"/>
        <v/>
      </c>
      <c r="L32" s="14" t="str">
        <f t="shared" si="9"/>
        <v/>
      </c>
      <c r="M32" s="14" t="str">
        <f t="shared" si="9"/>
        <v/>
      </c>
      <c r="N32" s="6"/>
    </row>
    <row r="33" spans="1:14" ht="15.75" customHeight="1" x14ac:dyDescent="0.3">
      <c r="A33" s="9"/>
      <c r="B33" s="57" t="s">
        <v>85</v>
      </c>
      <c r="C33" s="31">
        <f>IF(D7="","",(C7-D7)*$D$53)</f>
        <v>-1754.8</v>
      </c>
      <c r="D33" s="31">
        <f>IF(E7="","",(D7-E7)*$D$53)</f>
        <v>789694.24</v>
      </c>
      <c r="E33" s="31">
        <f>IF(F7="","",(E7-F7)*$D$53)</f>
        <v>-1519896.48</v>
      </c>
      <c r="F33" s="31" t="str">
        <f>IF(G7="","",(F7-G7)*$D$53)</f>
        <v/>
      </c>
      <c r="G33" s="31" t="str">
        <f>IF(H7="","",(G7-H7)*$D$53)</f>
        <v/>
      </c>
      <c r="H33" s="31" t="str">
        <f>IF(I7="","",(H7-I7)*$D$53)</f>
        <v/>
      </c>
      <c r="I33" s="31" t="str">
        <f>IF(J7="","",(I7-J7)*$D$53)</f>
        <v/>
      </c>
      <c r="J33" s="31" t="str">
        <f>IF(K7="","",(J7-K7)*$D$53)</f>
        <v/>
      </c>
      <c r="K33" s="31" t="str">
        <f>IF(L7="","",(K7-L7)*$D$53)</f>
        <v/>
      </c>
      <c r="L33" s="31" t="str">
        <f>IF(M7="","",(L7-M7)*$D$53)</f>
        <v/>
      </c>
      <c r="M33" s="31" t="str">
        <f>IF(N7="","",(M7-N7)*$D$53)</f>
        <v/>
      </c>
      <c r="N33" s="6"/>
    </row>
    <row r="34" spans="1:14" ht="15.75" customHeight="1" x14ac:dyDescent="0.3">
      <c r="A34" s="9"/>
      <c r="B34" s="57" t="s">
        <v>86</v>
      </c>
      <c r="C34" s="31">
        <f t="shared" ref="C34:M34" si="10">IF(D7="","",C31-D31+C33)</f>
        <v>19086045.199999999</v>
      </c>
      <c r="D34" s="31">
        <f t="shared" si="10"/>
        <v>-8092005.7599999998</v>
      </c>
      <c r="E34" s="31">
        <f t="shared" si="10"/>
        <v>4639003.5199999996</v>
      </c>
      <c r="F34" s="31" t="str">
        <f t="shared" si="10"/>
        <v/>
      </c>
      <c r="G34" s="31" t="str">
        <f t="shared" si="10"/>
        <v/>
      </c>
      <c r="H34" s="31" t="str">
        <f t="shared" si="10"/>
        <v/>
      </c>
      <c r="I34" s="31" t="str">
        <f t="shared" si="10"/>
        <v/>
      </c>
      <c r="J34" s="31" t="str">
        <f t="shared" si="10"/>
        <v/>
      </c>
      <c r="K34" s="31" t="str">
        <f t="shared" si="10"/>
        <v/>
      </c>
      <c r="L34" s="31" t="str">
        <f t="shared" si="10"/>
        <v/>
      </c>
      <c r="M34" s="31" t="str">
        <f t="shared" si="10"/>
        <v/>
      </c>
      <c r="N34" s="6"/>
    </row>
    <row r="35" spans="1:14" ht="15.75" customHeight="1" x14ac:dyDescent="0.3">
      <c r="A35" s="9"/>
      <c r="B35" s="57" t="s">
        <v>87</v>
      </c>
      <c r="C35" s="14">
        <f t="shared" ref="C35:M35" si="11">IF(C34="","",C34/C16)</f>
        <v>2.8456479253328562</v>
      </c>
      <c r="D35" s="14">
        <f t="shared" si="11"/>
        <v>-1.0723818482405834</v>
      </c>
      <c r="E35" s="14">
        <f t="shared" si="11"/>
        <v>0.56889749612937834</v>
      </c>
      <c r="F35" s="14" t="str">
        <f t="shared" si="11"/>
        <v/>
      </c>
      <c r="G35" s="14" t="str">
        <f t="shared" si="11"/>
        <v/>
      </c>
      <c r="H35" s="14" t="str">
        <f t="shared" si="11"/>
        <v/>
      </c>
      <c r="I35" s="14" t="str">
        <f t="shared" si="11"/>
        <v/>
      </c>
      <c r="J35" s="14" t="str">
        <f t="shared" si="11"/>
        <v/>
      </c>
      <c r="K35" s="14" t="str">
        <f t="shared" si="11"/>
        <v/>
      </c>
      <c r="L35" s="14" t="str">
        <f t="shared" si="11"/>
        <v/>
      </c>
      <c r="M35" s="14" t="str">
        <f t="shared" si="11"/>
        <v/>
      </c>
      <c r="N35" s="6"/>
    </row>
    <row r="36" spans="1:14" ht="15.75" customHeight="1" x14ac:dyDescent="0.3">
      <c r="A36" s="9"/>
      <c r="B36" s="59" t="s">
        <v>88</v>
      </c>
      <c r="C36" s="60">
        <f t="shared" ref="C36:M36" si="12">IF(C28="","",C28-C30+C27)</f>
        <v>429494200</v>
      </c>
      <c r="D36" s="60">
        <f t="shared" si="12"/>
        <v>424797000</v>
      </c>
      <c r="E36" s="60">
        <f t="shared" si="12"/>
        <v>409248200</v>
      </c>
      <c r="F36" s="60">
        <f t="shared" si="12"/>
        <v>367970000</v>
      </c>
      <c r="G36" s="60" t="str">
        <f t="shared" si="12"/>
        <v/>
      </c>
      <c r="H36" s="60" t="str">
        <f t="shared" si="12"/>
        <v/>
      </c>
      <c r="I36" s="60" t="str">
        <f t="shared" si="12"/>
        <v/>
      </c>
      <c r="J36" s="60" t="str">
        <f t="shared" si="12"/>
        <v/>
      </c>
      <c r="K36" s="60" t="str">
        <f t="shared" si="12"/>
        <v/>
      </c>
      <c r="L36" s="60" t="str">
        <f t="shared" si="12"/>
        <v/>
      </c>
      <c r="M36" s="60" t="str">
        <f t="shared" si="12"/>
        <v/>
      </c>
      <c r="N36" s="6"/>
    </row>
    <row r="37" spans="1:14" ht="15.75" customHeight="1" x14ac:dyDescent="0.3">
      <c r="A37" s="9"/>
      <c r="B37" s="61" t="s">
        <v>89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56" t="s">
        <v>90</v>
      </c>
      <c r="C38" s="62">
        <f>IF(C16="","",(C16*$C$4)/(Dashboard!$I$6*1000000))</f>
        <v>0.11292831677795045</v>
      </c>
      <c r="D38" s="62">
        <f>IF(D16="","",(D16*$C$4)/(Dashboard!$I$6*1000000))</f>
        <v>0.12705003890667771</v>
      </c>
      <c r="E38" s="62">
        <f>IF(E16="","",(E16*$C$4)/(Dashboard!$I$6*1000000))</f>
        <v>0.13729627456370111</v>
      </c>
      <c r="F38" s="62">
        <f>IF(F16="","",(F16*$C$4)/(Dashboard!$I$6*1000000))</f>
        <v>0.20913988871640424</v>
      </c>
      <c r="G38" s="62" t="str">
        <f>IF(G16="","",(G16*$C$4)/(Dashboard!$I$6*1000000))</f>
        <v/>
      </c>
      <c r="H38" s="62" t="str">
        <f>IF(H16="","",(H16*$C$4)/(Dashboard!$I$6*1000000))</f>
        <v/>
      </c>
      <c r="I38" s="62" t="str">
        <f>IF(I16="","",(I16*$C$4)/(Dashboard!$I$6*1000000))</f>
        <v/>
      </c>
      <c r="J38" s="62" t="str">
        <f>IF(J16="","",(J16*$C$4)/(Dashboard!$I$6*1000000))</f>
        <v/>
      </c>
      <c r="K38" s="62" t="str">
        <f>IF(K16="","",(K16*$C$4)/(Dashboard!$I$6*1000000))</f>
        <v/>
      </c>
      <c r="L38" s="62" t="str">
        <f>IF(L16="","",(L16*$C$4)/(Dashboard!$I$6*1000000))</f>
        <v/>
      </c>
      <c r="M38" s="62" t="str">
        <f>IF(M16="","",(M16*$C$4)/(Dashboard!$I$6*1000000))</f>
        <v/>
      </c>
      <c r="N38" s="6"/>
    </row>
    <row r="39" spans="1:14" ht="15.75" customHeight="1" x14ac:dyDescent="0.3">
      <c r="A39" s="9"/>
      <c r="B39" s="59" t="s">
        <v>91</v>
      </c>
      <c r="C39" s="63">
        <f>IF(C19="","",(C19*$C$4)/(Dashboard!$I$6*1000000))</f>
        <v>2.1032943197360366E-2</v>
      </c>
      <c r="D39" s="63">
        <f>IF(D19="","",(D19*$C$4)/(Dashboard!$I$6*1000000))</f>
        <v>1.9726381884427956E-2</v>
      </c>
      <c r="E39" s="63">
        <f>IF(E19="","",(E19*$C$4)/(Dashboard!$I$6*1000000))</f>
        <v>1.8456862258202394E-2</v>
      </c>
      <c r="F39" s="63">
        <f>IF(F19="","",(F19*$C$4)/(Dashboard!$I$6*1000000))</f>
        <v>0.30576397034772973</v>
      </c>
      <c r="G39" s="63" t="str">
        <f>IF(G19="","",(G19*$C$4)/(Dashboard!$I$6*1000000))</f>
        <v/>
      </c>
      <c r="H39" s="63" t="str">
        <f>IF(H19="","",(H19*$C$4)/(Dashboard!$I$6*1000000))</f>
        <v/>
      </c>
      <c r="I39" s="63" t="str">
        <f>IF(I19="","",(I19*$C$4)/(Dashboard!$I$6*1000000))</f>
        <v/>
      </c>
      <c r="J39" s="63" t="str">
        <f>IF(J19="","",(J19*$C$4)/(Dashboard!$I$6*1000000))</f>
        <v/>
      </c>
      <c r="K39" s="63" t="str">
        <f>IF(K19="","",(K19*$C$4)/(Dashboard!$I$6*1000000))</f>
        <v/>
      </c>
      <c r="L39" s="63" t="str">
        <f>IF(L19="","",(L19*$C$4)/(Dashboard!$I$6*1000000))</f>
        <v/>
      </c>
      <c r="M39" s="63" t="str">
        <f>IF(M19="","",(M19*$C$4)/(Dashboard!$I$6*1000000))</f>
        <v/>
      </c>
      <c r="N39" s="6"/>
    </row>
    <row r="40" spans="1:14" ht="15.75" customHeight="1" x14ac:dyDescent="0.3">
      <c r="A40" s="9"/>
      <c r="B40" s="61" t="s">
        <v>92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 x14ac:dyDescent="0.3">
      <c r="A41" s="9"/>
      <c r="B41" s="383" t="s">
        <v>93</v>
      </c>
      <c r="C41" s="380">
        <v>5184300</v>
      </c>
      <c r="D41" s="380">
        <v>5194600</v>
      </c>
      <c r="E41" s="380">
        <v>5216500</v>
      </c>
      <c r="F41" s="380">
        <v>4898700</v>
      </c>
      <c r="G41" s="380"/>
      <c r="H41" s="380"/>
      <c r="I41" s="380"/>
      <c r="J41" s="380"/>
      <c r="K41" s="380"/>
      <c r="L41" s="380"/>
      <c r="M41" s="381"/>
      <c r="N41" s="6"/>
    </row>
    <row r="42" spans="1:14" ht="15.75" customHeight="1" x14ac:dyDescent="0.3">
      <c r="A42" s="9"/>
      <c r="B42" s="250" t="s">
        <v>94</v>
      </c>
      <c r="C42" s="379">
        <v>966800</v>
      </c>
      <c r="D42" s="379">
        <v>379200</v>
      </c>
      <c r="E42" s="379">
        <v>614800</v>
      </c>
      <c r="F42" s="379">
        <v>322100</v>
      </c>
      <c r="G42" s="379"/>
      <c r="H42" s="379"/>
      <c r="I42" s="379"/>
      <c r="J42" s="379"/>
      <c r="K42" s="379"/>
      <c r="L42" s="379"/>
      <c r="M42" s="382"/>
      <c r="N42" s="6"/>
    </row>
    <row r="43" spans="1:14" ht="15.75" customHeight="1" x14ac:dyDescent="0.3">
      <c r="A43" s="9"/>
      <c r="B43" s="250" t="s">
        <v>356</v>
      </c>
      <c r="C43" s="385">
        <f>IF(C41="","",C41*$C$4/Common_Shares)</f>
        <v>2.0600141728005541</v>
      </c>
      <c r="D43" s="385">
        <f>IF(D41="","",D41*$C$4/Common_Shares)</f>
        <v>2.0641069425052097</v>
      </c>
      <c r="E43" s="385">
        <f>IF(E41="","",E41*$C$4/Common_Shares)</f>
        <v>2.0728090450811276</v>
      </c>
      <c r="F43" s="385">
        <f>IF(F41="","",F41*$C$4/Common_Shares)</f>
        <v>1.946529218659814</v>
      </c>
      <c r="G43" s="385" t="str">
        <f>IF(G41="","",G41*$C$4/Common_Shares)</f>
        <v/>
      </c>
      <c r="H43" s="385" t="str">
        <f>IF(H41="","",H41*$C$4/Common_Shares)</f>
        <v/>
      </c>
      <c r="I43" s="385" t="str">
        <f>IF(I41="","",I41*$C$4/Common_Shares)</f>
        <v/>
      </c>
      <c r="J43" s="385" t="str">
        <f>IF(J41="","",J41*$C$4/Common_Shares)</f>
        <v/>
      </c>
      <c r="K43" s="385" t="str">
        <f>IF(K41="","",K41*$C$4/Common_Shares)</f>
        <v/>
      </c>
      <c r="L43" s="385" t="str">
        <f>IF(L41="","",L41*$C$4/Common_Shares)</f>
        <v/>
      </c>
      <c r="M43" s="386" t="str">
        <f>IF(M41="","",M41*$C$4/Common_Shares)</f>
        <v/>
      </c>
      <c r="N43" s="6"/>
    </row>
    <row r="44" spans="1:14" ht="15.75" customHeight="1" x14ac:dyDescent="0.3">
      <c r="A44" s="9"/>
      <c r="B44" s="384" t="s">
        <v>357</v>
      </c>
      <c r="C44" s="387">
        <f>IF(C42="","",C42*$C$4/Common_Shares)</f>
        <v>0.38416405344281301</v>
      </c>
      <c r="D44" s="387">
        <f>IF(D42="","",D42*$C$4/Common_Shares)</f>
        <v>0.15067750213644465</v>
      </c>
      <c r="E44" s="387">
        <f>IF(E42="","",E42*$C$4/Common_Shares)</f>
        <v>0.24429464217691502</v>
      </c>
      <c r="F44" s="387">
        <f>IF(F42="","",F42*$C$4/Common_Shares)</f>
        <v>0.12798845843393677</v>
      </c>
      <c r="G44" s="387" t="str">
        <f>IF(G42="","",G42*$C$4/Common_Shares)</f>
        <v/>
      </c>
      <c r="H44" s="387" t="str">
        <f>IF(H42="","",H42*$C$4/Common_Shares)</f>
        <v/>
      </c>
      <c r="I44" s="387" t="str">
        <f>IF(I42="","",I42*$C$4/Common_Shares)</f>
        <v/>
      </c>
      <c r="J44" s="387" t="str">
        <f>IF(J42="","",J42*$C$4/Common_Shares)</f>
        <v/>
      </c>
      <c r="K44" s="387" t="str">
        <f>IF(K42="","",K42*$C$4/Common_Shares)</f>
        <v/>
      </c>
      <c r="L44" s="387" t="str">
        <f>IF(L42="","",L42*$C$4/Common_Shares)</f>
        <v/>
      </c>
      <c r="M44" s="388" t="str">
        <f>IF(M42="","",M42*$C$4/Common_Shares)</f>
        <v/>
      </c>
      <c r="N44" s="6"/>
    </row>
    <row r="45" spans="1:14" ht="15.75" customHeight="1" x14ac:dyDescent="0.3">
      <c r="A45" s="9"/>
      <c r="B45" s="170" t="s">
        <v>95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4" ht="15.75" customHeight="1" x14ac:dyDescent="0.3">
      <c r="A46" s="9"/>
      <c r="B46" s="56" t="s">
        <v>96</v>
      </c>
      <c r="C46" s="62">
        <f>IF(C36="","",C25/C28)</f>
        <v>0.51217221314354655</v>
      </c>
      <c r="D46" s="62">
        <f>IF(D36="","",D25/D28)</f>
        <v>0.47020602750101581</v>
      </c>
      <c r="E46" s="62">
        <f>IF(E36="","",E25/E28)</f>
        <v>0.50241201722568152</v>
      </c>
      <c r="F46" s="62">
        <f>IF(F36="","",F25/F28)</f>
        <v>0.41602530464166587</v>
      </c>
      <c r="G46" s="62" t="str">
        <f>IF(G36="","",G25/G28)</f>
        <v/>
      </c>
      <c r="H46" s="62" t="str">
        <f>IF(H36="","",H25/H28)</f>
        <v/>
      </c>
      <c r="I46" s="62" t="str">
        <f>IF(I36="","",I25/I28)</f>
        <v/>
      </c>
      <c r="J46" s="62" t="str">
        <f>IF(J36="","",J25/J28)</f>
        <v/>
      </c>
      <c r="K46" s="62" t="str">
        <f>IF(K36="","",K25/K28)</f>
        <v/>
      </c>
      <c r="L46" s="62" t="str">
        <f>IF(L36="","",L25/L28)</f>
        <v/>
      </c>
      <c r="M46" s="62" t="str">
        <f>IF(M36="","",M25/M28)</f>
        <v/>
      </c>
      <c r="N46" s="6"/>
    </row>
    <row r="47" spans="1:14" ht="15.75" customHeight="1" x14ac:dyDescent="0.3">
      <c r="A47" s="9"/>
      <c r="B47" s="57" t="s">
        <v>97</v>
      </c>
      <c r="C47" s="14">
        <f>IF(C36="","",C27/C28)</f>
        <v>0.69112054614597496</v>
      </c>
      <c r="D47" s="14">
        <f>IF(D36="","",D27/D28)</f>
        <v>0.59902745762221543</v>
      </c>
      <c r="E47" s="14">
        <f>IF(E36="","",E27/E28)</f>
        <v>0.70347720120924373</v>
      </c>
      <c r="F47" s="14">
        <f>IF(F36="","",F27/F28)</f>
        <v>0.56773694503104066</v>
      </c>
      <c r="G47" s="14" t="str">
        <f>IF(G36="","",G27/G28)</f>
        <v/>
      </c>
      <c r="H47" s="14" t="str">
        <f>IF(H36="","",H27/H28)</f>
        <v/>
      </c>
      <c r="I47" s="14" t="str">
        <f>IF(I36="","",I27/I28)</f>
        <v/>
      </c>
      <c r="J47" s="14" t="str">
        <f>IF(J36="","",J27/J28)</f>
        <v/>
      </c>
      <c r="K47" s="14" t="str">
        <f>IF(K36="","",K27/K28)</f>
        <v/>
      </c>
      <c r="L47" s="14" t="str">
        <f>IF(L36="","",L27/L28)</f>
        <v/>
      </c>
      <c r="M47" s="14" t="str">
        <f>IF(M36="","",M27/M28)</f>
        <v/>
      </c>
      <c r="N47" s="6"/>
    </row>
    <row r="48" spans="1:14" ht="15.75" customHeight="1" x14ac:dyDescent="0.3">
      <c r="A48" s="9"/>
      <c r="B48" s="57" t="s">
        <v>98</v>
      </c>
      <c r="C48" s="66">
        <f>IF(C36="","",IF(C27&lt;=0,"-",C14/C27))</f>
        <v>4.4913641134844383E-2</v>
      </c>
      <c r="D48" s="66">
        <f>IF(D36="","",IF(D27&lt;=0,"-",D14/D27))</f>
        <v>5.5214148203596103E-2</v>
      </c>
      <c r="E48" s="66">
        <f>IF(E36="","",IF(E27&lt;=0,"-",E14/E27))</f>
        <v>5.5248043261415601E-2</v>
      </c>
      <c r="F48" s="66">
        <f>IF(F36="","",IF(F27&lt;=0,"-",F14/F27))</f>
        <v>0.1059381608421936</v>
      </c>
      <c r="G48" s="66" t="str">
        <f>IF(G36="","",IF(G27&lt;=0,"-",G14/G27))</f>
        <v/>
      </c>
      <c r="H48" s="66" t="str">
        <f>IF(H36="","",IF(H27&lt;=0,"-",H14/H27))</f>
        <v/>
      </c>
      <c r="I48" s="66" t="str">
        <f>IF(I36="","",IF(I27&lt;=0,"-",I14/I27))</f>
        <v/>
      </c>
      <c r="J48" s="66" t="str">
        <f>IF(J36="","",IF(J27&lt;=0,"-",J14/J27))</f>
        <v/>
      </c>
      <c r="K48" s="66" t="str">
        <f>IF(K36="","",IF(K27&lt;=0,"-",K14/K27))</f>
        <v/>
      </c>
      <c r="L48" s="66" t="str">
        <f>IF(L36="","",IF(L27&lt;=0,"-",L14/L27))</f>
        <v/>
      </c>
      <c r="M48" s="66" t="str">
        <f>IF(M36="","",IF(M27&lt;=0,"-",M14/M27))</f>
        <v/>
      </c>
      <c r="N48" s="6"/>
    </row>
    <row r="49" spans="1:14" ht="15.75" customHeight="1" x14ac:dyDescent="0.3">
      <c r="A49" s="9"/>
      <c r="B49" s="57" t="s">
        <v>99</v>
      </c>
      <c r="C49" s="66">
        <f>IF(C34="","",IF(C18&lt;=0,"-",C18/C16))</f>
        <v>0.38903549969435375</v>
      </c>
      <c r="D49" s="66">
        <f>IF(D34="","",IF(D18&lt;=0,"-",D18/D16))</f>
        <v>0.41012082840511144</v>
      </c>
      <c r="E49" s="66">
        <f>IF(E34="","",IF(E18&lt;=0,"-",E18/E16))</f>
        <v>0.59328887866942592</v>
      </c>
      <c r="F49" s="66" t="str">
        <f>IF(F34="","",IF(F18&lt;=0,"-",F18/F16))</f>
        <v/>
      </c>
      <c r="G49" s="66" t="str">
        <f>IF(G34="","",IF(G18&lt;=0,"-",G18/G16))</f>
        <v/>
      </c>
      <c r="H49" s="66" t="str">
        <f>IF(H34="","",IF(H18&lt;=0,"-",H18/H16))</f>
        <v/>
      </c>
      <c r="I49" s="66" t="str">
        <f>IF(I34="","",IF(I18&lt;=0,"-",I18/I16))</f>
        <v/>
      </c>
      <c r="J49" s="66" t="str">
        <f>IF(J34="","",IF(J18&lt;=0,"-",J18/J16))</f>
        <v/>
      </c>
      <c r="K49" s="66" t="str">
        <f>IF(K34="","",IF(K18&lt;=0,"-",K18/K16))</f>
        <v/>
      </c>
      <c r="L49" s="66" t="str">
        <f>IF(L34="","",IF(L18&lt;=0,"-",L18/L16))</f>
        <v/>
      </c>
      <c r="M49" s="66" t="str">
        <f>IF(M34="","",IF(M18&lt;=0,"-",M18/M16))</f>
        <v/>
      </c>
      <c r="N49" s="6"/>
    </row>
    <row r="50" spans="1:14" ht="15.75" customHeight="1" x14ac:dyDescent="0.3">
      <c r="A50" s="9"/>
      <c r="B50" s="59" t="s">
        <v>100</v>
      </c>
      <c r="C50" s="67">
        <f>IF(C36="","",C21/C22)</f>
        <v>1.1177864139693356</v>
      </c>
      <c r="D50" s="67">
        <f>IF(D36="","",D21/D22)</f>
        <v>1.3911666988719675</v>
      </c>
      <c r="E50" s="67">
        <f>IF(E36="","",E21/E22)</f>
        <v>1.1943687610330687</v>
      </c>
      <c r="F50" s="67">
        <f>IF(F36="","",F21/F22)</f>
        <v>1.483011477770338</v>
      </c>
      <c r="G50" s="67" t="str">
        <f>IF(G36="","",G21/G22)</f>
        <v/>
      </c>
      <c r="H50" s="67" t="str">
        <f>IF(H36="","",H21/H22)</f>
        <v/>
      </c>
      <c r="I50" s="67" t="str">
        <f>IF(I36="","",I21/I22)</f>
        <v/>
      </c>
      <c r="J50" s="67" t="str">
        <f>IF(J36="","",J21/J22)</f>
        <v/>
      </c>
      <c r="K50" s="67" t="str">
        <f>IF(K36="","",K21/K22)</f>
        <v/>
      </c>
      <c r="L50" s="67" t="str">
        <f>IF(L36="","",L21/L22)</f>
        <v/>
      </c>
      <c r="M50" s="67" t="str">
        <f>IF(M36="","",M21/M22)</f>
        <v/>
      </c>
      <c r="N50" s="6"/>
    </row>
    <row r="51" spans="1:14" ht="15.75" customHeight="1" x14ac:dyDescent="0.3">
      <c r="A51" s="9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4" ht="15.75" customHeight="1" x14ac:dyDescent="0.3">
      <c r="A52" s="9"/>
      <c r="B52" s="22" t="s">
        <v>101</v>
      </c>
      <c r="C52" s="68"/>
      <c r="D52" s="68"/>
      <c r="E52" s="68"/>
      <c r="F52" s="68"/>
    </row>
    <row r="53" spans="1:14" ht="15.75" customHeight="1" x14ac:dyDescent="0.3">
      <c r="A53" s="9"/>
      <c r="B53" s="6" t="s">
        <v>102</v>
      </c>
      <c r="C53" s="6"/>
      <c r="D53" s="370">
        <v>8.5599999999999996E-2</v>
      </c>
      <c r="E53" s="371"/>
      <c r="F53" s="6"/>
    </row>
    <row r="54" spans="1:14" ht="15" customHeight="1" x14ac:dyDescent="0.3">
      <c r="A54" s="9"/>
      <c r="B54" s="69" t="s">
        <v>103</v>
      </c>
      <c r="C54" s="6"/>
      <c r="D54" s="365" t="s">
        <v>104</v>
      </c>
      <c r="E54" s="311"/>
      <c r="F54" s="6"/>
    </row>
    <row r="55" spans="1:14" ht="15" customHeight="1" x14ac:dyDescent="0.3">
      <c r="A55" s="9"/>
      <c r="B55" s="69"/>
      <c r="D55" s="24"/>
      <c r="E55" s="24"/>
    </row>
    <row r="56" spans="1:14" ht="15.75" customHeight="1" x14ac:dyDescent="0.3">
      <c r="A56" s="9"/>
      <c r="B56" s="70" t="s">
        <v>105</v>
      </c>
      <c r="C56" s="71"/>
      <c r="D56" s="366">
        <v>5</v>
      </c>
      <c r="E56" s="367"/>
      <c r="F56" s="72"/>
    </row>
    <row r="57" spans="1:14" ht="15.75" customHeight="1" x14ac:dyDescent="0.3">
      <c r="A57" s="9"/>
      <c r="B57" s="73" t="s">
        <v>106</v>
      </c>
      <c r="C57" s="74" t="s">
        <v>107</v>
      </c>
      <c r="D57" s="368" t="s">
        <v>108</v>
      </c>
      <c r="E57" s="369"/>
      <c r="F57" s="75" t="s">
        <v>109</v>
      </c>
    </row>
    <row r="58" spans="1:14" ht="15.75" customHeight="1" x14ac:dyDescent="0.3">
      <c r="A58" s="9"/>
      <c r="B58" s="76" t="str">
        <f>C6</f>
        <v>FY 2022</v>
      </c>
      <c r="C58" s="77"/>
      <c r="D58" s="78">
        <f>1</f>
        <v>1</v>
      </c>
      <c r="E58" s="79">
        <f t="shared" ref="E58:E68" si="13">C58*D58</f>
        <v>0</v>
      </c>
      <c r="F58" s="80">
        <v>0</v>
      </c>
    </row>
    <row r="59" spans="1:14" ht="15.75" customHeight="1" x14ac:dyDescent="0.3">
      <c r="A59" s="9"/>
      <c r="B59" s="81">
        <f>IF(D7="","",-1)</f>
        <v>-1</v>
      </c>
      <c r="C59" s="77"/>
      <c r="D59" s="78">
        <f t="shared" ref="D59:D68" si="14">IF(B59&lt;0,(D$56+B59)/D$56,0)</f>
        <v>0.8</v>
      </c>
      <c r="E59" s="79">
        <f t="shared" si="13"/>
        <v>0</v>
      </c>
      <c r="F59" s="80">
        <f t="shared" ref="F59:F68" si="15">IF(B59&lt;0,C59/$D$56,0)</f>
        <v>0</v>
      </c>
    </row>
    <row r="60" spans="1:14" ht="15.75" customHeight="1" x14ac:dyDescent="0.3">
      <c r="A60" s="9"/>
      <c r="B60" s="81">
        <f t="shared" ref="B60:B68" si="16">IF((0-B59)&lt;$D$56,IF(B59&gt;-1, ,B59-1), )</f>
        <v>-2</v>
      </c>
      <c r="C60" s="77"/>
      <c r="D60" s="78">
        <f t="shared" si="14"/>
        <v>0.6</v>
      </c>
      <c r="E60" s="79">
        <f t="shared" si="13"/>
        <v>0</v>
      </c>
      <c r="F60" s="80">
        <f t="shared" si="15"/>
        <v>0</v>
      </c>
    </row>
    <row r="61" spans="1:14" ht="15.75" customHeight="1" x14ac:dyDescent="0.3">
      <c r="A61" s="9"/>
      <c r="B61" s="81">
        <f t="shared" si="16"/>
        <v>-3</v>
      </c>
      <c r="C61" s="77"/>
      <c r="D61" s="78">
        <f t="shared" si="14"/>
        <v>0.4</v>
      </c>
      <c r="E61" s="79">
        <f t="shared" si="13"/>
        <v>0</v>
      </c>
      <c r="F61" s="80">
        <f t="shared" si="15"/>
        <v>0</v>
      </c>
    </row>
    <row r="62" spans="1:14" ht="15.75" customHeight="1" x14ac:dyDescent="0.3">
      <c r="A62" s="9"/>
      <c r="B62" s="81">
        <f t="shared" si="16"/>
        <v>-4</v>
      </c>
      <c r="C62" s="77"/>
      <c r="D62" s="78">
        <f t="shared" si="14"/>
        <v>0.2</v>
      </c>
      <c r="E62" s="79">
        <f t="shared" si="13"/>
        <v>0</v>
      </c>
      <c r="F62" s="80">
        <f t="shared" si="15"/>
        <v>0</v>
      </c>
    </row>
    <row r="63" spans="1:14" ht="15.75" customHeight="1" x14ac:dyDescent="0.3">
      <c r="A63" s="9"/>
      <c r="B63" s="81">
        <f t="shared" si="16"/>
        <v>-5</v>
      </c>
      <c r="C63" s="77"/>
      <c r="D63" s="78">
        <f t="shared" si="14"/>
        <v>0</v>
      </c>
      <c r="E63" s="79">
        <f t="shared" si="13"/>
        <v>0</v>
      </c>
      <c r="F63" s="80">
        <f t="shared" si="15"/>
        <v>0</v>
      </c>
    </row>
    <row r="64" spans="1:14" ht="15.75" customHeight="1" x14ac:dyDescent="0.3">
      <c r="A64" s="9"/>
      <c r="B64" s="81">
        <f t="shared" si="16"/>
        <v>0</v>
      </c>
      <c r="C64" s="77"/>
      <c r="D64" s="78">
        <f t="shared" si="14"/>
        <v>0</v>
      </c>
      <c r="E64" s="79">
        <f t="shared" si="13"/>
        <v>0</v>
      </c>
      <c r="F64" s="80">
        <f t="shared" si="15"/>
        <v>0</v>
      </c>
    </row>
    <row r="65" spans="1:6" ht="15.75" customHeight="1" x14ac:dyDescent="0.3">
      <c r="A65" s="9"/>
      <c r="B65" s="81">
        <f t="shared" si="16"/>
        <v>0</v>
      </c>
      <c r="C65" s="77"/>
      <c r="D65" s="78">
        <f t="shared" si="14"/>
        <v>0</v>
      </c>
      <c r="E65" s="79">
        <f t="shared" si="13"/>
        <v>0</v>
      </c>
      <c r="F65" s="80">
        <f t="shared" si="15"/>
        <v>0</v>
      </c>
    </row>
    <row r="66" spans="1:6" ht="15.75" customHeight="1" x14ac:dyDescent="0.3">
      <c r="A66" s="9"/>
      <c r="B66" s="81">
        <f t="shared" si="16"/>
        <v>0</v>
      </c>
      <c r="C66" s="77"/>
      <c r="D66" s="78">
        <f t="shared" si="14"/>
        <v>0</v>
      </c>
      <c r="E66" s="79">
        <f t="shared" si="13"/>
        <v>0</v>
      </c>
      <c r="F66" s="80">
        <f t="shared" si="15"/>
        <v>0</v>
      </c>
    </row>
    <row r="67" spans="1:6" ht="15.75" customHeight="1" x14ac:dyDescent="0.3">
      <c r="A67" s="9"/>
      <c r="B67" s="81">
        <f t="shared" si="16"/>
        <v>0</v>
      </c>
      <c r="C67" s="77"/>
      <c r="D67" s="78">
        <f t="shared" si="14"/>
        <v>0</v>
      </c>
      <c r="E67" s="79">
        <f t="shared" si="13"/>
        <v>0</v>
      </c>
      <c r="F67" s="80">
        <f t="shared" si="15"/>
        <v>0</v>
      </c>
    </row>
    <row r="68" spans="1:6" ht="15.75" customHeight="1" x14ac:dyDescent="0.3">
      <c r="A68" s="9"/>
      <c r="B68" s="81">
        <f t="shared" si="16"/>
        <v>0</v>
      </c>
      <c r="C68" s="77"/>
      <c r="D68" s="78">
        <f t="shared" si="14"/>
        <v>0</v>
      </c>
      <c r="E68" s="79">
        <f t="shared" si="13"/>
        <v>0</v>
      </c>
      <c r="F68" s="80">
        <f t="shared" si="15"/>
        <v>0</v>
      </c>
    </row>
    <row r="69" spans="1:6" ht="15.75" customHeight="1" x14ac:dyDescent="0.3">
      <c r="A69" s="9"/>
      <c r="B69" s="82" t="s">
        <v>110</v>
      </c>
      <c r="C69" s="69"/>
      <c r="D69" s="69"/>
      <c r="E69" s="79">
        <f>SUM(E58:E68)</f>
        <v>0</v>
      </c>
      <c r="F69" s="83"/>
    </row>
    <row r="70" spans="1:6" ht="15.75" customHeight="1" x14ac:dyDescent="0.3">
      <c r="A70" s="9"/>
      <c r="B70" s="82" t="s">
        <v>111</v>
      </c>
      <c r="C70" s="69"/>
      <c r="D70" s="69"/>
      <c r="E70" s="69"/>
      <c r="F70" s="80">
        <f>SUM(F59:F68)</f>
        <v>0</v>
      </c>
    </row>
    <row r="71" spans="1:6" ht="15.75" customHeight="1" x14ac:dyDescent="0.3">
      <c r="A71" s="9"/>
      <c r="B71" s="82"/>
      <c r="C71" s="69"/>
      <c r="D71" s="69"/>
      <c r="E71" s="69"/>
      <c r="F71" s="83"/>
    </row>
    <row r="72" spans="1:6" ht="15.75" customHeight="1" x14ac:dyDescent="0.3">
      <c r="A72" s="9"/>
      <c r="B72" s="84"/>
      <c r="C72" s="85" t="s">
        <v>112</v>
      </c>
      <c r="D72" s="85" t="s">
        <v>113</v>
      </c>
      <c r="E72" s="86" t="s">
        <v>114</v>
      </c>
      <c r="F72" s="87" t="s">
        <v>115</v>
      </c>
    </row>
    <row r="73" spans="1:6" ht="15.75" customHeight="1" x14ac:dyDescent="0.3">
      <c r="A73" s="9"/>
      <c r="B73" s="82" t="s">
        <v>116</v>
      </c>
      <c r="C73" s="88">
        <f>C14</f>
        <v>8942800</v>
      </c>
      <c r="D73" s="88">
        <f>C73+C58-F70</f>
        <v>8942800</v>
      </c>
      <c r="E73" s="69" t="s">
        <v>117</v>
      </c>
      <c r="F73" s="83" t="s">
        <v>118</v>
      </c>
    </row>
    <row r="74" spans="1:6" ht="15.75" customHeight="1" x14ac:dyDescent="0.3">
      <c r="A74" s="9"/>
      <c r="B74" s="82" t="s">
        <v>119</v>
      </c>
      <c r="C74" s="89">
        <f t="shared" ref="C74:D74" si="17">C73/$C$7</f>
        <v>0.13110168634286576</v>
      </c>
      <c r="D74" s="89">
        <f t="shared" si="17"/>
        <v>0.13110168634286576</v>
      </c>
      <c r="E74" s="69" t="s">
        <v>120</v>
      </c>
      <c r="F74" s="83" t="s">
        <v>121</v>
      </c>
    </row>
    <row r="75" spans="1:6" ht="15.75" customHeight="1" x14ac:dyDescent="0.3">
      <c r="A75" s="9"/>
      <c r="B75" s="82" t="s">
        <v>122</v>
      </c>
      <c r="C75" s="88">
        <f>C34</f>
        <v>19086045.199999999</v>
      </c>
      <c r="D75" s="88">
        <f>C75+E69-F70</f>
        <v>19086045.199999999</v>
      </c>
      <c r="E75" s="69" t="s">
        <v>123</v>
      </c>
      <c r="F75" s="83" t="s">
        <v>124</v>
      </c>
    </row>
    <row r="76" spans="1:6" ht="15.75" customHeight="1" x14ac:dyDescent="0.3">
      <c r="A76" s="9"/>
      <c r="B76" s="82" t="s">
        <v>125</v>
      </c>
      <c r="C76" s="88">
        <f>C16</f>
        <v>6707100</v>
      </c>
      <c r="D76" s="88">
        <f>C76+C59</f>
        <v>6707100</v>
      </c>
      <c r="E76" s="69" t="s">
        <v>126</v>
      </c>
      <c r="F76" s="83" t="s">
        <v>127</v>
      </c>
    </row>
    <row r="77" spans="1:6" ht="15.75" customHeight="1" x14ac:dyDescent="0.3">
      <c r="A77" s="9"/>
      <c r="B77" s="82" t="s">
        <v>128</v>
      </c>
      <c r="C77" s="88">
        <f>F3</f>
        <v>1249200</v>
      </c>
      <c r="D77" s="88">
        <f>C77+C58-F70</f>
        <v>1249200</v>
      </c>
      <c r="E77" s="69" t="s">
        <v>129</v>
      </c>
      <c r="F77" s="83" t="s">
        <v>127</v>
      </c>
    </row>
    <row r="78" spans="1:6" ht="15.75" customHeight="1" x14ac:dyDescent="0.3">
      <c r="A78" s="9"/>
      <c r="B78" s="90" t="s">
        <v>130</v>
      </c>
      <c r="C78" s="91">
        <f>C36</f>
        <v>429494200</v>
      </c>
      <c r="D78" s="91">
        <f>C78+E69</f>
        <v>429494200</v>
      </c>
      <c r="E78" s="8" t="s">
        <v>131</v>
      </c>
      <c r="F78" s="92" t="s">
        <v>127</v>
      </c>
    </row>
    <row r="79" spans="1:6" ht="15.75" customHeight="1" x14ac:dyDescent="0.3">
      <c r="A79" s="9"/>
      <c r="B79" s="69"/>
      <c r="C79" s="93"/>
      <c r="D79" s="93"/>
    </row>
    <row r="80" spans="1:6" ht="15.75" customHeight="1" x14ac:dyDescent="0.3">
      <c r="A80" s="9"/>
      <c r="B80" s="69"/>
      <c r="C80" s="93"/>
      <c r="D80" s="93"/>
    </row>
    <row r="81" spans="1:4" ht="15.75" customHeight="1" x14ac:dyDescent="0.3">
      <c r="A81" s="9"/>
      <c r="B81" s="69"/>
      <c r="C81" s="93"/>
      <c r="D81" s="93"/>
    </row>
    <row r="82" spans="1:4" ht="15.75" customHeight="1" x14ac:dyDescent="0.3">
      <c r="A82" s="9"/>
      <c r="B82" s="69"/>
      <c r="C82" s="94"/>
      <c r="D82" s="94"/>
    </row>
    <row r="83" spans="1:4" ht="15.75" customHeight="1" x14ac:dyDescent="0.3">
      <c r="A83" s="9"/>
      <c r="B83" s="69"/>
      <c r="C83" s="93"/>
      <c r="D83" s="93"/>
    </row>
    <row r="84" spans="1:4" ht="15.75" customHeight="1" x14ac:dyDescent="0.3">
      <c r="A84" s="9"/>
      <c r="B84" s="69"/>
      <c r="C84" s="94"/>
      <c r="D84" s="94"/>
    </row>
    <row r="85" spans="1:4" ht="15.75" customHeight="1" x14ac:dyDescent="0.3">
      <c r="A85" s="9"/>
    </row>
    <row r="86" spans="1:4" ht="15.75" customHeight="1" x14ac:dyDescent="0.3">
      <c r="A86" s="9"/>
    </row>
    <row r="87" spans="1:4" ht="15.75" customHeight="1" x14ac:dyDescent="0.3">
      <c r="A87" s="9"/>
    </row>
    <row r="88" spans="1:4" ht="15.75" customHeight="1" x14ac:dyDescent="0.3">
      <c r="A88" s="9"/>
    </row>
    <row r="89" spans="1:4" ht="15.75" customHeight="1" x14ac:dyDescent="0.3">
      <c r="A89" s="9"/>
    </row>
    <row r="90" spans="1:4" ht="15.75" customHeight="1" x14ac:dyDescent="0.3">
      <c r="A90" s="9"/>
    </row>
    <row r="91" spans="1:4" ht="15.75" customHeight="1" x14ac:dyDescent="0.3">
      <c r="A91" s="9"/>
    </row>
    <row r="92" spans="1:4" ht="15.75" customHeight="1" x14ac:dyDescent="0.3">
      <c r="A92" s="9"/>
    </row>
    <row r="93" spans="1:4" ht="15.75" customHeight="1" x14ac:dyDescent="0.3">
      <c r="A93" s="9"/>
    </row>
    <row r="94" spans="1:4" ht="15.75" customHeight="1" x14ac:dyDescent="0.3">
      <c r="A94" s="9"/>
    </row>
    <row r="95" spans="1:4" ht="15.75" customHeight="1" x14ac:dyDescent="0.3">
      <c r="A95" s="9"/>
    </row>
    <row r="96" spans="1:4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>
      <c r="A281" s="9"/>
    </row>
    <row r="282" spans="1:1" ht="15.75" customHeight="1" x14ac:dyDescent="0.3">
      <c r="A282" s="9"/>
    </row>
    <row r="283" spans="1:1" ht="15.75" customHeight="1" x14ac:dyDescent="0.3">
      <c r="A283" s="9"/>
    </row>
    <row r="284" spans="1:1" ht="15.75" customHeight="1" x14ac:dyDescent="0.3">
      <c r="A284" s="9"/>
    </row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</sheetData>
  <mergeCells count="4">
    <mergeCell ref="D54:E54"/>
    <mergeCell ref="D56:E56"/>
    <mergeCell ref="D57:E57"/>
    <mergeCell ref="D53:E53"/>
  </mergeCells>
  <conditionalFormatting sqref="B56:F78">
    <cfRule type="expression" dxfId="8" priority="1">
      <formula>$D$54="No"</formula>
    </cfRule>
  </conditionalFormatting>
  <conditionalFormatting sqref="D46:M50 C7:M36">
    <cfRule type="containsBlanks" dxfId="7" priority="2">
      <formula>LEN(TRIM(C7))=0</formula>
    </cfRule>
  </conditionalFormatting>
  <conditionalFormatting sqref="D17:M17">
    <cfRule type="containsBlanks" dxfId="6" priority="3">
      <formula>LEN(TRIM(D17))=0</formula>
    </cfRule>
  </conditionalFormatting>
  <conditionalFormatting sqref="C38:M39 C41:M44">
    <cfRule type="containsBlanks" dxfId="5" priority="4">
      <formula>LEN(TRIM(C38))=0</formula>
    </cfRule>
  </conditionalFormatting>
  <dataValidations count="3">
    <dataValidation type="decimal" allowBlank="1" showDropDown="1" sqref="D56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4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I61"/>
  <sheetViews>
    <sheetView showGridLines="0" workbookViewId="0">
      <selection activeCell="D13" sqref="D13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18.453125" style="3" bestFit="1" customWidth="1"/>
    <col min="8" max="16384" width="12.453125" style="3"/>
  </cols>
  <sheetData>
    <row r="2" spans="1:9" ht="15" customHeight="1" x14ac:dyDescent="0.3">
      <c r="A2" s="4"/>
      <c r="B2" s="373" t="s">
        <v>132</v>
      </c>
      <c r="C2" s="373"/>
      <c r="D2" s="373"/>
      <c r="E2" s="12"/>
      <c r="F2" s="12"/>
      <c r="G2" s="12"/>
      <c r="H2" s="12"/>
    </row>
    <row r="3" spans="1:9" ht="15" customHeight="1" x14ac:dyDescent="0.3">
      <c r="B3" s="5" t="s">
        <v>133</v>
      </c>
      <c r="C3" s="6"/>
      <c r="D3" s="279">
        <v>288098800</v>
      </c>
      <c r="E3" s="280" t="str">
        <f>IF((C46-H46)=D3,"", "Error!")</f>
        <v/>
      </c>
      <c r="F3" s="6"/>
      <c r="G3" s="97" t="s">
        <v>134</v>
      </c>
      <c r="H3" s="172">
        <f>((D3-D4)*Dashboard!I12*Data!C4)/Dashboard!I5</f>
        <v>84.779976064298651</v>
      </c>
    </row>
    <row r="4" spans="1:9" ht="15" customHeight="1" x14ac:dyDescent="0.3">
      <c r="B4" s="5" t="s">
        <v>135</v>
      </c>
      <c r="C4" s="6"/>
      <c r="D4" s="273">
        <f>27124500+47614200</f>
        <v>74738700</v>
      </c>
      <c r="E4" s="272"/>
      <c r="F4" s="6"/>
      <c r="G4" s="6"/>
      <c r="H4" s="6"/>
    </row>
    <row r="5" spans="1:9" ht="15" customHeight="1" x14ac:dyDescent="0.3">
      <c r="D5" s="6"/>
      <c r="E5" s="24" t="s">
        <v>136</v>
      </c>
      <c r="H5" s="6"/>
    </row>
    <row r="6" spans="1:9" ht="15" customHeight="1" x14ac:dyDescent="0.3">
      <c r="B6" s="95" t="s">
        <v>137</v>
      </c>
      <c r="C6" s="6"/>
      <c r="D6" s="96">
        <f>E46-H46-E50</f>
        <v>-52450755</v>
      </c>
      <c r="E6" s="14">
        <f>1-D6/D3</f>
        <v>1.182058220999185</v>
      </c>
      <c r="F6" s="6"/>
      <c r="G6" s="97" t="s">
        <v>138</v>
      </c>
      <c r="H6" s="28">
        <f>IF(Data!F3&lt;=0,"NNI",D7/((Data!F3*Dashboard!I12)/(Dashboard!I5/Data!C4)))</f>
        <v>0</v>
      </c>
      <c r="I6" s="6"/>
    </row>
    <row r="7" spans="1:9" ht="15" customHeight="1" x14ac:dyDescent="0.3">
      <c r="B7" s="69" t="s">
        <v>139</v>
      </c>
      <c r="D7" s="98">
        <f>MAX((D6*Dashboard!I12*Data!C4)/Dashboard!I5, 0)</f>
        <v>0</v>
      </c>
      <c r="E7" s="99"/>
      <c r="G7" s="97" t="s">
        <v>140</v>
      </c>
      <c r="H7" s="28">
        <f>D7/(Data!C28*Dashboard!I12*Data!C4/Common_Shares)</f>
        <v>0</v>
      </c>
      <c r="I7" s="6"/>
    </row>
    <row r="8" spans="1:9" ht="15" customHeight="1" x14ac:dyDescent="0.3">
      <c r="D8" s="6"/>
      <c r="H8" s="6"/>
    </row>
    <row r="9" spans="1:9" ht="15" customHeight="1" x14ac:dyDescent="0.3">
      <c r="A9" s="4"/>
      <c r="B9" s="373" t="s">
        <v>141</v>
      </c>
      <c r="C9" s="373"/>
      <c r="D9" s="373"/>
      <c r="E9" s="8"/>
      <c r="F9" s="12"/>
      <c r="G9" s="12"/>
      <c r="H9" s="12"/>
    </row>
    <row r="10" spans="1:9" ht="15" customHeight="1" x14ac:dyDescent="0.3">
      <c r="B10" s="5" t="s">
        <v>142</v>
      </c>
      <c r="C10" s="24" t="s">
        <v>143</v>
      </c>
      <c r="D10" s="24" t="s">
        <v>144</v>
      </c>
      <c r="E10" s="24" t="s">
        <v>145</v>
      </c>
      <c r="F10" s="6"/>
      <c r="G10" s="100" t="s">
        <v>146</v>
      </c>
      <c r="H10" s="24" t="s">
        <v>143</v>
      </c>
    </row>
    <row r="11" spans="1:9" ht="15" customHeight="1" x14ac:dyDescent="0.3">
      <c r="B11" s="5" t="s">
        <v>147</v>
      </c>
      <c r="C11" s="101">
        <v>57715600</v>
      </c>
      <c r="D11" s="102">
        <v>1</v>
      </c>
      <c r="E11" s="31">
        <f t="shared" ref="E11:E21" si="0">C11*D11</f>
        <v>57715600</v>
      </c>
      <c r="F11" s="6"/>
      <c r="G11" s="5" t="s">
        <v>148</v>
      </c>
      <c r="H11" s="101">
        <f>36175100+14094500</f>
        <v>50269600</v>
      </c>
      <c r="I11" s="6"/>
    </row>
    <row r="12" spans="1:9" ht="14" x14ac:dyDescent="0.3">
      <c r="B12" s="3" t="s">
        <v>149</v>
      </c>
      <c r="C12" s="101">
        <v>4494500</v>
      </c>
      <c r="D12" s="102">
        <v>0.95</v>
      </c>
      <c r="E12" s="31">
        <f t="shared" si="0"/>
        <v>4269775</v>
      </c>
      <c r="F12" s="6"/>
      <c r="G12" s="5" t="s">
        <v>150</v>
      </c>
      <c r="H12" s="101">
        <v>1285200</v>
      </c>
      <c r="I12" s="6"/>
    </row>
    <row r="13" spans="1:9" ht="14" x14ac:dyDescent="0.3">
      <c r="B13" s="5" t="s">
        <v>151</v>
      </c>
      <c r="C13" s="101">
        <v>0</v>
      </c>
      <c r="D13" s="102">
        <v>1</v>
      </c>
      <c r="E13" s="31">
        <f t="shared" si="0"/>
        <v>0</v>
      </c>
      <c r="F13" s="6"/>
      <c r="G13" s="5" t="s">
        <v>152</v>
      </c>
      <c r="H13" s="101">
        <v>0</v>
      </c>
      <c r="I13" s="6"/>
    </row>
    <row r="14" spans="1:9" ht="14" x14ac:dyDescent="0.3">
      <c r="B14" s="5" t="s">
        <v>153</v>
      </c>
      <c r="C14" s="101">
        <f>3154200+2529900</f>
        <v>5684100</v>
      </c>
      <c r="D14" s="102">
        <v>0.8</v>
      </c>
      <c r="E14" s="31">
        <f t="shared" si="0"/>
        <v>4547280</v>
      </c>
      <c r="F14" s="6"/>
      <c r="G14" s="3" t="s">
        <v>154</v>
      </c>
      <c r="H14" s="101">
        <v>400</v>
      </c>
      <c r="I14" s="6"/>
    </row>
    <row r="15" spans="1:9" ht="14" x14ac:dyDescent="0.3">
      <c r="B15" s="5" t="s">
        <v>155</v>
      </c>
      <c r="C15" s="101">
        <v>0</v>
      </c>
      <c r="D15" s="102">
        <v>0.8</v>
      </c>
      <c r="E15" s="31">
        <f t="shared" si="0"/>
        <v>0</v>
      </c>
      <c r="F15" s="6"/>
      <c r="G15" s="5" t="s">
        <v>156</v>
      </c>
      <c r="H15" s="278">
        <f>H26-SUM(H11:H14)</f>
        <v>121257600</v>
      </c>
      <c r="I15" s="6"/>
    </row>
    <row r="16" spans="1:9" ht="14" x14ac:dyDescent="0.3">
      <c r="B16" s="3" t="s">
        <v>154</v>
      </c>
      <c r="C16" s="101">
        <v>27400</v>
      </c>
      <c r="D16" s="102">
        <v>0.5</v>
      </c>
      <c r="E16" s="31">
        <f t="shared" si="0"/>
        <v>13700</v>
      </c>
      <c r="F16" s="6"/>
      <c r="G16" s="5"/>
      <c r="H16" s="277"/>
      <c r="I16" s="6"/>
    </row>
    <row r="17" spans="2:9" ht="14" x14ac:dyDescent="0.3">
      <c r="B17" s="5" t="s">
        <v>157</v>
      </c>
      <c r="C17" s="101">
        <f>8649200+32235200</f>
        <v>40884400</v>
      </c>
      <c r="D17" s="102">
        <v>0.5</v>
      </c>
      <c r="E17" s="31">
        <f t="shared" si="0"/>
        <v>20442200</v>
      </c>
      <c r="F17" s="6"/>
      <c r="G17" s="5"/>
      <c r="H17" s="277"/>
      <c r="I17" s="6"/>
    </row>
    <row r="18" spans="2:9" ht="14" x14ac:dyDescent="0.3">
      <c r="B18" s="5" t="s">
        <v>158</v>
      </c>
      <c r="C18" s="101">
        <v>504900</v>
      </c>
      <c r="D18" s="102">
        <v>0.5</v>
      </c>
      <c r="E18" s="31">
        <f t="shared" si="0"/>
        <v>252450</v>
      </c>
      <c r="F18" s="6"/>
    </row>
    <row r="19" spans="2:9" ht="14" x14ac:dyDescent="0.3">
      <c r="B19" s="3" t="s">
        <v>159</v>
      </c>
      <c r="C19" s="101">
        <f>21770600+20100</f>
        <v>21790700</v>
      </c>
      <c r="D19" s="102">
        <v>0.7</v>
      </c>
      <c r="E19" s="31">
        <f t="shared" si="0"/>
        <v>15253489.999999998</v>
      </c>
      <c r="F19" s="6"/>
      <c r="G19" s="5"/>
      <c r="H19" s="277"/>
    </row>
    <row r="20" spans="2:9" ht="14" x14ac:dyDescent="0.3">
      <c r="B20" s="5" t="s">
        <v>160</v>
      </c>
      <c r="C20" s="101">
        <v>62066200</v>
      </c>
      <c r="D20" s="102">
        <v>0.4</v>
      </c>
      <c r="E20" s="31">
        <f t="shared" si="0"/>
        <v>24826480</v>
      </c>
      <c r="F20" s="6"/>
      <c r="G20" s="5"/>
      <c r="H20" s="277"/>
    </row>
    <row r="21" spans="2:9" ht="14" x14ac:dyDescent="0.3">
      <c r="B21" s="5" t="s">
        <v>161</v>
      </c>
      <c r="C21" s="101">
        <v>0</v>
      </c>
      <c r="D21" s="102">
        <v>0.95</v>
      </c>
      <c r="E21" s="31">
        <f t="shared" si="0"/>
        <v>0</v>
      </c>
      <c r="F21" s="6"/>
      <c r="G21" s="5"/>
      <c r="H21" s="277"/>
    </row>
    <row r="22" spans="2:9" ht="15" customHeight="1" x14ac:dyDescent="0.3">
      <c r="B22" s="5" t="s">
        <v>162</v>
      </c>
      <c r="C22" s="101">
        <v>0</v>
      </c>
      <c r="D22" s="102">
        <v>0.3</v>
      </c>
      <c r="E22" s="31">
        <f t="shared" ref="E22" si="1">C22*D22</f>
        <v>0</v>
      </c>
    </row>
    <row r="23" spans="2:9" ht="15" customHeight="1" x14ac:dyDescent="0.3">
      <c r="C23" s="6"/>
      <c r="D23" s="6"/>
      <c r="E23" s="6"/>
      <c r="F23" s="6"/>
    </row>
    <row r="24" spans="2:9" ht="15" customHeight="1" x14ac:dyDescent="0.3">
      <c r="B24" s="103" t="s">
        <v>163</v>
      </c>
      <c r="C24" s="107">
        <f>SUM(C11:C14)</f>
        <v>67894200</v>
      </c>
      <c r="D24" s="105">
        <f t="shared" ref="D24:D26" si="2">E24/C24</f>
        <v>0.97994607786821264</v>
      </c>
      <c r="E24" s="31">
        <f>SUM(E11:E14)</f>
        <v>66532655</v>
      </c>
      <c r="F24" s="6"/>
      <c r="G24" s="103" t="s">
        <v>164</v>
      </c>
      <c r="H24" s="106">
        <f>E24/($H$26-H13)</f>
        <v>0.38499842025590697</v>
      </c>
      <c r="I24" s="13" t="str">
        <f>IF(H24&lt;1,"Liquidity Problem!","")</f>
        <v>Liquidity Problem!</v>
      </c>
    </row>
    <row r="25" spans="2:9" ht="15" customHeight="1" x14ac:dyDescent="0.3">
      <c r="B25" s="103" t="s">
        <v>165</v>
      </c>
      <c r="C25" s="107">
        <f>C24+SUM(C15:C17)</f>
        <v>108806000</v>
      </c>
      <c r="D25" s="105">
        <f t="shared" si="2"/>
        <v>0.79948307078653746</v>
      </c>
      <c r="E25" s="31">
        <f>E24+SUM(E15:E17)</f>
        <v>86988555</v>
      </c>
      <c r="F25" s="6"/>
      <c r="G25" s="103" t="s">
        <v>166</v>
      </c>
      <c r="H25" s="106">
        <f>E25/$H$26</f>
        <v>0.50336870301273984</v>
      </c>
      <c r="I25" s="13"/>
    </row>
    <row r="26" spans="2:9" ht="15" customHeight="1" x14ac:dyDescent="0.3">
      <c r="B26" s="5" t="s">
        <v>167</v>
      </c>
      <c r="C26" s="107">
        <f>SUM(C11:C22)</f>
        <v>193167800</v>
      </c>
      <c r="D26" s="14">
        <f t="shared" si="2"/>
        <v>0.65912111128252227</v>
      </c>
      <c r="E26" s="31">
        <f>SUM(E11:E22)</f>
        <v>127320975</v>
      </c>
      <c r="G26" s="5" t="s">
        <v>74</v>
      </c>
      <c r="H26" s="101">
        <v>172812800</v>
      </c>
    </row>
    <row r="27" spans="2:9" ht="15" customHeight="1" x14ac:dyDescent="0.3">
      <c r="C27" s="6"/>
      <c r="D27" s="6"/>
      <c r="E27" s="6"/>
      <c r="F27" s="6"/>
      <c r="H27" s="6"/>
      <c r="I27" s="6"/>
    </row>
    <row r="28" spans="2:9" ht="15" customHeight="1" x14ac:dyDescent="0.3">
      <c r="B28" s="5" t="s">
        <v>168</v>
      </c>
      <c r="C28" s="101">
        <v>0</v>
      </c>
      <c r="D28" s="102">
        <v>1</v>
      </c>
      <c r="E28" s="31">
        <v>0</v>
      </c>
      <c r="F28" s="6"/>
      <c r="G28" s="5" t="s">
        <v>169</v>
      </c>
      <c r="H28" s="101">
        <v>143038900</v>
      </c>
      <c r="I28" s="6"/>
    </row>
    <row r="29" spans="2:9" ht="15" customHeight="1" x14ac:dyDescent="0.3">
      <c r="B29" s="5" t="s">
        <v>170</v>
      </c>
      <c r="C29" s="101">
        <f>18684000+39133800</f>
        <v>57817800</v>
      </c>
      <c r="D29" s="102">
        <v>0.8</v>
      </c>
      <c r="E29" s="31">
        <f t="shared" ref="E29:E40" si="3">C29*D29</f>
        <v>46254240</v>
      </c>
      <c r="F29" s="6"/>
      <c r="G29" s="5" t="s">
        <v>171</v>
      </c>
      <c r="H29" s="101">
        <v>4517300</v>
      </c>
      <c r="I29" s="6"/>
    </row>
    <row r="30" spans="2:9" ht="15" customHeight="1" x14ac:dyDescent="0.3">
      <c r="B30" s="5" t="s">
        <v>172</v>
      </c>
      <c r="C30" s="101">
        <v>0</v>
      </c>
      <c r="D30" s="102">
        <v>0</v>
      </c>
      <c r="E30" s="31">
        <f t="shared" si="3"/>
        <v>0</v>
      </c>
      <c r="F30" s="6"/>
      <c r="G30" s="3" t="s">
        <v>173</v>
      </c>
      <c r="H30" s="101">
        <v>221600</v>
      </c>
      <c r="I30" s="6"/>
    </row>
    <row r="31" spans="2:9" ht="14" x14ac:dyDescent="0.3">
      <c r="B31" s="3" t="s">
        <v>173</v>
      </c>
      <c r="C31" s="101">
        <v>781600</v>
      </c>
      <c r="D31" s="102">
        <v>0.3</v>
      </c>
      <c r="E31" s="31">
        <f t="shared" si="3"/>
        <v>234480</v>
      </c>
      <c r="F31" s="6"/>
      <c r="G31" s="5" t="s">
        <v>174</v>
      </c>
      <c r="H31" s="101">
        <v>0</v>
      </c>
      <c r="I31" s="6"/>
    </row>
    <row r="32" spans="2:9" ht="14" x14ac:dyDescent="0.3">
      <c r="B32" s="5" t="s">
        <v>175</v>
      </c>
      <c r="C32" s="101">
        <v>0</v>
      </c>
      <c r="D32" s="102">
        <v>0.2</v>
      </c>
      <c r="E32" s="31">
        <f t="shared" si="3"/>
        <v>0</v>
      </c>
      <c r="F32" s="6"/>
      <c r="G32" s="5" t="s">
        <v>176</v>
      </c>
      <c r="H32" s="278">
        <f>H42-SUM(H28:H31)</f>
        <v>27194500</v>
      </c>
      <c r="I32" s="6"/>
    </row>
    <row r="33" spans="2:9" ht="14" x14ac:dyDescent="0.3">
      <c r="B33" s="5" t="s">
        <v>177</v>
      </c>
      <c r="C33" s="101">
        <f>48745200+16193100</f>
        <v>64938300</v>
      </c>
      <c r="D33" s="102">
        <v>0.4</v>
      </c>
      <c r="E33" s="31">
        <f t="shared" si="3"/>
        <v>25975320</v>
      </c>
      <c r="F33" s="6"/>
      <c r="I33" s="6"/>
    </row>
    <row r="34" spans="2:9" ht="14" x14ac:dyDescent="0.3">
      <c r="B34" s="5" t="s">
        <v>178</v>
      </c>
      <c r="C34" s="101">
        <v>211220700</v>
      </c>
      <c r="D34" s="102">
        <v>0.7</v>
      </c>
      <c r="E34" s="31">
        <f t="shared" si="3"/>
        <v>147854490</v>
      </c>
      <c r="F34" s="6"/>
    </row>
    <row r="35" spans="2:9" ht="14" x14ac:dyDescent="0.3">
      <c r="B35" s="3" t="s">
        <v>160</v>
      </c>
      <c r="C35" s="101">
        <v>23310600</v>
      </c>
      <c r="D35" s="102">
        <v>0.4</v>
      </c>
      <c r="E35" s="31">
        <f t="shared" si="3"/>
        <v>9324240</v>
      </c>
      <c r="F35" s="6"/>
    </row>
    <row r="36" spans="2:9" ht="15" customHeight="1" x14ac:dyDescent="0.3">
      <c r="B36" s="5" t="s">
        <v>179</v>
      </c>
      <c r="C36" s="101">
        <v>19684300</v>
      </c>
      <c r="D36" s="102">
        <v>0.3</v>
      </c>
      <c r="E36" s="31">
        <f t="shared" si="3"/>
        <v>5905290</v>
      </c>
      <c r="F36" s="6"/>
    </row>
    <row r="37" spans="2:9" ht="14" x14ac:dyDescent="0.3">
      <c r="B37" s="5" t="s">
        <v>180</v>
      </c>
      <c r="C37" s="101">
        <v>6298200</v>
      </c>
      <c r="D37" s="102">
        <v>0.5</v>
      </c>
      <c r="E37" s="31">
        <f t="shared" si="3"/>
        <v>3149100</v>
      </c>
      <c r="F37" s="6"/>
    </row>
    <row r="38" spans="2:9" ht="15" customHeight="1" x14ac:dyDescent="0.3">
      <c r="B38" s="5" t="s">
        <v>181</v>
      </c>
      <c r="C38" s="101">
        <f>13011400+8395200</f>
        <v>21406600</v>
      </c>
      <c r="D38" s="102">
        <v>0.1</v>
      </c>
      <c r="E38" s="31">
        <f t="shared" si="3"/>
        <v>2140660</v>
      </c>
      <c r="F38" s="6"/>
    </row>
    <row r="39" spans="2:9" ht="15" customHeight="1" x14ac:dyDescent="0.3">
      <c r="B39" s="5" t="s">
        <v>182</v>
      </c>
      <c r="C39" s="101">
        <v>2015000</v>
      </c>
      <c r="D39" s="102">
        <v>0.95</v>
      </c>
      <c r="E39" s="31">
        <f t="shared" si="3"/>
        <v>1914250</v>
      </c>
      <c r="F39" s="6"/>
    </row>
    <row r="40" spans="2:9" ht="15" customHeight="1" x14ac:dyDescent="0.3">
      <c r="B40" s="5" t="s">
        <v>183</v>
      </c>
      <c r="C40" s="101">
        <f>5239800+2335000+27668200</f>
        <v>35243000</v>
      </c>
      <c r="D40" s="102">
        <v>0</v>
      </c>
      <c r="E40" s="31">
        <f t="shared" si="3"/>
        <v>0</v>
      </c>
      <c r="F40" s="6"/>
    </row>
    <row r="41" spans="2:9" ht="15" customHeight="1" x14ac:dyDescent="0.3">
      <c r="C41" s="6"/>
      <c r="D41" s="6"/>
      <c r="E41" s="6"/>
      <c r="H41" s="6"/>
    </row>
    <row r="42" spans="2:9" ht="14" x14ac:dyDescent="0.3">
      <c r="B42" s="5" t="s">
        <v>184</v>
      </c>
      <c r="C42" s="104">
        <f>SUM(C28:C40)</f>
        <v>442716100</v>
      </c>
      <c r="D42" s="14">
        <f>E42/C42</f>
        <v>0.54832446798298051</v>
      </c>
      <c r="E42" s="31">
        <f>SUM(E28:E40)</f>
        <v>242752070</v>
      </c>
      <c r="F42" s="6"/>
      <c r="G42" s="5" t="s">
        <v>185</v>
      </c>
      <c r="H42" s="101">
        <v>174972300</v>
      </c>
      <c r="I42" s="6"/>
    </row>
    <row r="43" spans="2:9" ht="15" customHeight="1" x14ac:dyDescent="0.3">
      <c r="C43" s="6"/>
      <c r="D43" s="6"/>
      <c r="E43" s="6"/>
      <c r="H43" s="6"/>
    </row>
    <row r="44" spans="2:9" ht="15" customHeight="1" x14ac:dyDescent="0.3">
      <c r="B44" s="103" t="s">
        <v>186</v>
      </c>
      <c r="C44" s="107">
        <f>C24+SUM(C28:C29)</f>
        <v>125712000</v>
      </c>
      <c r="D44" s="105">
        <f>E44/C44</f>
        <v>0.89718479540537099</v>
      </c>
      <c r="E44" s="31">
        <f>E24+SUM(E28:E29)</f>
        <v>112786895</v>
      </c>
      <c r="F44" s="6"/>
      <c r="G44" s="103" t="s">
        <v>187</v>
      </c>
      <c r="H44" s="106">
        <f>E44/$H$46</f>
        <v>0.32430053788963359</v>
      </c>
      <c r="I44" s="13" t="str">
        <f>IF(H44&lt;1,"Liquidity Problem!","")</f>
        <v>Liquidity Problem!</v>
      </c>
    </row>
    <row r="45" spans="2:9" ht="15" customHeight="1" x14ac:dyDescent="0.3">
      <c r="B45" s="103" t="s">
        <v>188</v>
      </c>
      <c r="C45" s="107">
        <f>C44+(C25-C24)+SUM(C30:C33)</f>
        <v>232343700</v>
      </c>
      <c r="D45" s="105">
        <f>E45/C45</f>
        <v>0.68627896947496314</v>
      </c>
      <c r="E45" s="31">
        <f>E44+(E25-E24)+SUM(E30:E33)</f>
        <v>159452595</v>
      </c>
      <c r="F45" s="6"/>
      <c r="G45" s="103" t="s">
        <v>189</v>
      </c>
      <c r="H45" s="106">
        <f>E45/$H$46</f>
        <v>0.45848023678990274</v>
      </c>
      <c r="I45" s="6"/>
    </row>
    <row r="46" spans="2:9" ht="15" customHeight="1" x14ac:dyDescent="0.3">
      <c r="B46" s="5" t="s">
        <v>190</v>
      </c>
      <c r="C46" s="107">
        <f>C26+C42</f>
        <v>635883900</v>
      </c>
      <c r="D46" s="14">
        <f>E46/C46</f>
        <v>0.58198209610276341</v>
      </c>
      <c r="E46" s="31">
        <f>E26+E42</f>
        <v>370073045</v>
      </c>
      <c r="F46" s="6"/>
      <c r="G46" s="5" t="s">
        <v>191</v>
      </c>
      <c r="H46" s="278">
        <f>H26+H42</f>
        <v>347785100</v>
      </c>
      <c r="I46" s="6"/>
    </row>
    <row r="47" spans="2:9" ht="15" customHeight="1" x14ac:dyDescent="0.3">
      <c r="C47" s="6"/>
      <c r="D47" s="6"/>
      <c r="E47" s="6"/>
      <c r="H47" s="6"/>
    </row>
    <row r="48" spans="2:9" ht="14" x14ac:dyDescent="0.3">
      <c r="B48" s="22" t="s">
        <v>192</v>
      </c>
      <c r="C48" s="22"/>
      <c r="D48" s="68"/>
    </row>
    <row r="49" spans="2:8" ht="14" x14ac:dyDescent="0.3">
      <c r="B49" s="108" t="s">
        <v>193</v>
      </c>
      <c r="C49" s="5"/>
      <c r="D49" s="374"/>
      <c r="E49" s="374"/>
    </row>
    <row r="50" spans="2:8" ht="14" x14ac:dyDescent="0.3">
      <c r="B50" s="5" t="s">
        <v>194</v>
      </c>
      <c r="D50" s="64" t="str">
        <f>IF(E50=D4,"BV of the MI","P/B Approach")</f>
        <v>BV of the MI</v>
      </c>
      <c r="E50" s="31">
        <f>MAX(D4,D4*Dashboard!I10)</f>
        <v>74738700</v>
      </c>
      <c r="F50" s="6"/>
      <c r="H50" s="281"/>
    </row>
    <row r="51" spans="2:8" ht="15" customHeight="1" x14ac:dyDescent="0.3">
      <c r="C51" s="6"/>
      <c r="D51" s="6"/>
      <c r="E51" s="6"/>
    </row>
    <row r="52" spans="2:8" ht="14" x14ac:dyDescent="0.3">
      <c r="B52" s="5" t="s">
        <v>195</v>
      </c>
      <c r="C52" s="5"/>
      <c r="D52" s="374"/>
      <c r="E52" s="374"/>
      <c r="F52" s="69"/>
    </row>
    <row r="53" spans="2:8" ht="14" x14ac:dyDescent="0.3">
      <c r="B53" s="95" t="s">
        <v>196</v>
      </c>
      <c r="C53" s="6"/>
      <c r="D53" s="375">
        <v>0</v>
      </c>
      <c r="E53" s="311"/>
      <c r="F53" s="5"/>
    </row>
    <row r="54" spans="2:8" ht="14" x14ac:dyDescent="0.3">
      <c r="B54" s="95" t="s">
        <v>197</v>
      </c>
      <c r="C54" s="6"/>
      <c r="D54" s="375">
        <v>0</v>
      </c>
      <c r="E54" s="311"/>
      <c r="F54" s="6" t="s">
        <v>198</v>
      </c>
    </row>
    <row r="55" spans="2:8" ht="12.75" customHeight="1" x14ac:dyDescent="0.3">
      <c r="B55" s="69" t="s">
        <v>199</v>
      </c>
      <c r="C55" s="6"/>
      <c r="D55" s="317">
        <f>Data!C27+D53+D54</f>
        <v>199111000</v>
      </c>
      <c r="E55" s="372"/>
      <c r="F55" s="5" t="s">
        <v>200</v>
      </c>
    </row>
    <row r="56" spans="2:8" ht="15" customHeight="1" x14ac:dyDescent="0.3">
      <c r="D56" s="6"/>
      <c r="E56" s="6"/>
    </row>
    <row r="57" spans="2:8" ht="14" x14ac:dyDescent="0.3">
      <c r="B57" s="5" t="s">
        <v>201</v>
      </c>
      <c r="C57" s="5"/>
      <c r="D57" s="374"/>
      <c r="E57" s="374"/>
      <c r="F57" s="19" t="s">
        <v>202</v>
      </c>
    </row>
    <row r="58" spans="2:8" ht="15" customHeight="1" x14ac:dyDescent="0.3">
      <c r="B58" s="69" t="s">
        <v>203</v>
      </c>
      <c r="C58" s="6"/>
      <c r="D58" s="375">
        <f>E14+E15+E34+E35+E29+E30</f>
        <v>207980250</v>
      </c>
      <c r="E58" s="376"/>
      <c r="F58" s="14">
        <f>1-(E15+E34+E29+E30)/(C15+C34+C29+C30)</f>
        <v>0.27850946983424307</v>
      </c>
      <c r="G58" s="6"/>
    </row>
    <row r="59" spans="2:8" ht="14" x14ac:dyDescent="0.3">
      <c r="B59" s="69" t="s">
        <v>147</v>
      </c>
      <c r="C59" s="6"/>
      <c r="D59" s="317">
        <f>E11+E28</f>
        <v>57715600</v>
      </c>
      <c r="E59" s="372"/>
      <c r="F59" s="6"/>
    </row>
    <row r="60" spans="2:8" ht="14" x14ac:dyDescent="0.3">
      <c r="B60" s="69" t="s">
        <v>204</v>
      </c>
      <c r="C60" s="6"/>
      <c r="D60" s="317">
        <f>((Dashboard!I6*1000)+D55+E50-(C15+C34+C29+C30)-D59)</f>
        <v>6488143.7956193686</v>
      </c>
      <c r="E60" s="372"/>
      <c r="F60" s="6"/>
    </row>
    <row r="61" spans="2:8" ht="15" customHeight="1" x14ac:dyDescent="0.3">
      <c r="D61" s="6"/>
      <c r="E61" s="6"/>
    </row>
  </sheetData>
  <mergeCells count="11">
    <mergeCell ref="D59:E59"/>
    <mergeCell ref="D60:E60"/>
    <mergeCell ref="B2:D2"/>
    <mergeCell ref="B9:D9"/>
    <mergeCell ref="D49:E49"/>
    <mergeCell ref="D52:E52"/>
    <mergeCell ref="D53:E53"/>
    <mergeCell ref="D54:E54"/>
    <mergeCell ref="D55:E55"/>
    <mergeCell ref="D57:E57"/>
    <mergeCell ref="D58:E58"/>
  </mergeCells>
  <dataValidations count="1">
    <dataValidation allowBlank="1" sqref="D50" xr:uid="{00000000-0002-0000-0200-000000000000}"/>
  </dataValidations>
  <pageMargins left="0.25" right="0.25" top="0.75" bottom="0.75" header="0.3" footer="0.3"/>
  <pageSetup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M948"/>
  <sheetViews>
    <sheetView showGridLines="0" topLeftCell="A32" zoomScaleNormal="100" zoomScalePageLayoutView="80" workbookViewId="0">
      <selection activeCell="C58" sqref="C5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74" t="s">
        <v>205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 x14ac:dyDescent="0.3">
      <c r="B3" s="34" t="str">
        <f>"(Numbers in "&amp;Data!C4&amp;Dashboard!I11&amp;")"</f>
        <v>(Numbers in 1000HKD)</v>
      </c>
      <c r="C3" s="33" t="str">
        <f>RIGHT(Data!C6,4)</f>
        <v>2022</v>
      </c>
      <c r="D3" s="33">
        <v>1</v>
      </c>
      <c r="E3" s="33" t="str">
        <f>"2 "&amp;IF(F4="","(Normalized)","(Base)")</f>
        <v>2 (Normalized)</v>
      </c>
      <c r="F3" s="33" t="str">
        <f>IF(F12="","","3 (Normalized)")</f>
        <v/>
      </c>
      <c r="G3" s="33" t="s">
        <v>206</v>
      </c>
      <c r="I3" s="109" t="s">
        <v>207</v>
      </c>
    </row>
    <row r="4" spans="1:13" ht="15.75" customHeight="1" x14ac:dyDescent="0.3">
      <c r="B4" s="5" t="s">
        <v>208</v>
      </c>
      <c r="C4" s="49">
        <f>Data!C8</f>
        <v>-3.0044025489062154E-4</v>
      </c>
      <c r="D4" s="110">
        <f>D5/C5-1</f>
        <v>0</v>
      </c>
      <c r="E4" s="111"/>
      <c r="F4" s="209"/>
      <c r="G4" s="197"/>
      <c r="H4" s="6"/>
      <c r="I4" s="112"/>
    </row>
    <row r="5" spans="1:13" ht="15.75" customHeight="1" x14ac:dyDescent="0.3">
      <c r="B5" s="5" t="s">
        <v>209</v>
      </c>
      <c r="C5" s="113">
        <f>Data!C7</f>
        <v>68212700</v>
      </c>
      <c r="D5" s="215">
        <f>C5</f>
        <v>68212700</v>
      </c>
      <c r="E5" s="207" t="str">
        <f>IF(E4="","",D5*(1+E4))</f>
        <v/>
      </c>
      <c r="F5" s="210"/>
      <c r="G5" s="197"/>
      <c r="H5" s="6"/>
      <c r="I5" s="112"/>
      <c r="M5" s="94"/>
    </row>
    <row r="6" spans="1:13" ht="15.75" customHeight="1" x14ac:dyDescent="0.3">
      <c r="B6" s="8" t="s">
        <v>210</v>
      </c>
      <c r="C6" s="60">
        <f>Data!C9</f>
        <v>49967000</v>
      </c>
      <c r="D6" s="216">
        <f>D5*(1-D7)</f>
        <v>49967000</v>
      </c>
      <c r="E6" s="208" t="str">
        <f>IF(E4="","",E5*(1-E7))</f>
        <v/>
      </c>
      <c r="F6" s="210"/>
      <c r="G6" s="197"/>
      <c r="H6" s="6"/>
      <c r="I6" s="211"/>
      <c r="M6" s="1"/>
    </row>
    <row r="7" spans="1:13" ht="15.75" customHeight="1" x14ac:dyDescent="0.3">
      <c r="B7" s="115" t="s">
        <v>211</v>
      </c>
      <c r="C7" s="49">
        <f>Data!C10</f>
        <v>0.26748244828309098</v>
      </c>
      <c r="D7" s="116">
        <f>C7</f>
        <v>0.26748244828309098</v>
      </c>
      <c r="E7" s="116"/>
      <c r="F7" s="212"/>
      <c r="G7" s="197"/>
      <c r="H7" s="6"/>
      <c r="I7" s="112"/>
    </row>
    <row r="8" spans="1:13" ht="15.75" customHeight="1" x14ac:dyDescent="0.3">
      <c r="B8" s="5" t="s">
        <v>212</v>
      </c>
      <c r="C8" s="31">
        <f t="shared" ref="C8" si="0">C5-C6</f>
        <v>18245700</v>
      </c>
      <c r="D8" s="58">
        <f>D5-D6</f>
        <v>18245700</v>
      </c>
      <c r="E8" s="58" t="str">
        <f>IF(E4="","",E5-E6)</f>
        <v/>
      </c>
      <c r="F8" s="213"/>
      <c r="G8" s="197"/>
      <c r="H8" s="6"/>
      <c r="I8" s="112"/>
    </row>
    <row r="9" spans="1:13" ht="15.75" customHeight="1" x14ac:dyDescent="0.3">
      <c r="B9" s="115" t="s">
        <v>64</v>
      </c>
      <c r="C9" s="52">
        <f>Data!C12</f>
        <v>0.13638076194022522</v>
      </c>
      <c r="D9" s="117">
        <f>D10/D5</f>
        <v>0.13638076194022522</v>
      </c>
      <c r="E9" s="118"/>
      <c r="F9" s="212"/>
      <c r="G9" s="197"/>
      <c r="H9" s="6"/>
      <c r="I9" s="112"/>
    </row>
    <row r="10" spans="1:13" ht="15.75" customHeight="1" x14ac:dyDescent="0.3">
      <c r="B10" s="8" t="s">
        <v>213</v>
      </c>
      <c r="C10" s="119">
        <f>Data!C11</f>
        <v>9302900</v>
      </c>
      <c r="D10" s="120">
        <f>C10</f>
        <v>9302900</v>
      </c>
      <c r="E10" s="114" t="str">
        <f>IF(E4="","",E5*E9)</f>
        <v/>
      </c>
      <c r="F10" s="213"/>
      <c r="G10" s="197"/>
      <c r="H10" s="6"/>
      <c r="I10" s="112"/>
    </row>
    <row r="11" spans="1:13" ht="15.75" customHeight="1" x14ac:dyDescent="0.3">
      <c r="B11" s="115" t="s">
        <v>214</v>
      </c>
      <c r="C11" s="18">
        <f>Data!C13</f>
        <v>0.13110168634286576</v>
      </c>
      <c r="D11" s="110">
        <f>D13/D5</f>
        <v>0.13110168634286576</v>
      </c>
      <c r="E11" s="110" t="str">
        <f>IF(E4="","",E13/E5)</f>
        <v/>
      </c>
      <c r="F11" s="214"/>
      <c r="G11" s="284">
        <f>IF(Dashboard!D10&gt;5%,5%,IF(Dashboard!D10&lt;3.5%,3.5%,Dashboard!D10))</f>
        <v>3.5000000000000003E-2</v>
      </c>
      <c r="H11" s="6"/>
      <c r="I11" s="112"/>
      <c r="M11" s="94"/>
    </row>
    <row r="12" spans="1:13" ht="15.75" customHeight="1" x14ac:dyDescent="0.3">
      <c r="B12" s="121" t="s">
        <v>215</v>
      </c>
      <c r="C12" s="14">
        <f>Data!C15</f>
        <v>-0.11115086819532656</v>
      </c>
      <c r="D12" s="117">
        <f>IF(ABS(C13+D13)=ABS(C13)+ABS(D13),IF(D13&lt;0,-1,1)*(D13-C13)/C13,"Turn")</f>
        <v>0</v>
      </c>
      <c r="E12" s="117" t="str">
        <f>IF(E4="","",IF(ABS(D13+E13)=ABS(D13)+ABS(E13),IF(E13&lt;0,-1,1)*(E13-D13)/D13,"Turn"))</f>
        <v/>
      </c>
      <c r="F12" s="217"/>
      <c r="G12" s="285">
        <f>G16*G17</f>
        <v>3.5000000000000003E-2</v>
      </c>
      <c r="H12" s="6"/>
      <c r="I12" s="122" t="s">
        <v>216</v>
      </c>
      <c r="K12" s="123"/>
      <c r="M12" s="123"/>
    </row>
    <row r="13" spans="1:13" ht="15.75" customHeight="1" x14ac:dyDescent="0.3">
      <c r="B13" s="5" t="s">
        <v>66</v>
      </c>
      <c r="C13" s="31">
        <f>IF(Data!D54="No",Data!C73,Data!D73)</f>
        <v>8942800</v>
      </c>
      <c r="D13" s="58">
        <f>D8-D10</f>
        <v>8942800</v>
      </c>
      <c r="E13" s="58" t="str">
        <f>IF(E4="","",E8-E10)</f>
        <v/>
      </c>
      <c r="F13" s="58" t="str">
        <f>IF(F12="","",E13*(1+F12))</f>
        <v/>
      </c>
      <c r="G13" s="31">
        <f>IF(F12="",IF(E12="",C30,E13*(1+G12)),F13*(1+G12))</f>
        <v>9255798</v>
      </c>
      <c r="H13" s="6"/>
      <c r="I13" s="124"/>
      <c r="K13" s="93"/>
      <c r="M13" s="93"/>
    </row>
    <row r="14" spans="1:13" ht="15.75" customHeight="1" x14ac:dyDescent="0.3">
      <c r="B14" s="20" t="s">
        <v>217</v>
      </c>
      <c r="C14" s="198"/>
      <c r="D14" s="125">
        <v>0.25</v>
      </c>
      <c r="E14" s="35" t="str">
        <f>IF(E4="","",D14)</f>
        <v/>
      </c>
      <c r="F14" s="35" t="str">
        <f>IF(F12="","",D14)</f>
        <v/>
      </c>
      <c r="G14" s="63">
        <f>D14</f>
        <v>0.25</v>
      </c>
      <c r="H14" s="6"/>
      <c r="I14" s="123"/>
      <c r="K14" s="94"/>
      <c r="M14" s="94"/>
    </row>
    <row r="15" spans="1:13" ht="15.75" customHeight="1" x14ac:dyDescent="0.3">
      <c r="B15" s="5" t="s">
        <v>125</v>
      </c>
      <c r="C15" s="126">
        <f>IF(Data!D54="No",Data!C76,Data!D76)</f>
        <v>6707100</v>
      </c>
      <c r="D15" s="127">
        <f>IF(D13&lt;=0,D13,D13*(1-D14))</f>
        <v>6707100</v>
      </c>
      <c r="E15" s="127" t="str">
        <f>IF(E4="","",IF(E13&lt;=0,E13,E13*(1-E14)))</f>
        <v/>
      </c>
      <c r="F15" s="127" t="str">
        <f>IF(F12="","",IF(F13&lt;=0,F13,F13*(1-F14)))</f>
        <v/>
      </c>
      <c r="G15" s="126">
        <f>G13*(1-G14)</f>
        <v>6941848.5</v>
      </c>
      <c r="H15" s="6"/>
      <c r="I15" s="128"/>
      <c r="K15" s="93"/>
      <c r="M15" s="93"/>
    </row>
    <row r="16" spans="1:13" ht="15.75" hidden="1" customHeight="1" x14ac:dyDescent="0.3">
      <c r="B16" s="17" t="s">
        <v>218</v>
      </c>
      <c r="C16" s="129"/>
      <c r="D16" s="129"/>
      <c r="E16" s="129"/>
      <c r="F16" s="32"/>
      <c r="G16" s="14">
        <f>G20</f>
        <v>9.1499999999999998E-2</v>
      </c>
      <c r="H16" s="6"/>
      <c r="I16" s="112" t="s">
        <v>219</v>
      </c>
      <c r="K16" s="94"/>
      <c r="M16" s="94"/>
    </row>
    <row r="17" spans="2:13" ht="15.75" customHeight="1" x14ac:dyDescent="0.3">
      <c r="B17" s="17" t="s">
        <v>87</v>
      </c>
      <c r="C17" s="14">
        <f t="shared" ref="C17" si="1">C18/C15</f>
        <v>2.8456479253328562</v>
      </c>
      <c r="D17" s="32">
        <f>IF(E4="",G17,D18/D15)</f>
        <v>0.38251366120218583</v>
      </c>
      <c r="E17" s="102"/>
      <c r="F17" s="32" t="str">
        <f>IF(F12="","",G12/G16)</f>
        <v/>
      </c>
      <c r="G17" s="14">
        <f>G11/G16</f>
        <v>0.38251366120218583</v>
      </c>
      <c r="H17" s="6"/>
      <c r="I17" s="122" t="s">
        <v>220</v>
      </c>
    </row>
    <row r="18" spans="2:13" ht="15" customHeight="1" thickBot="1" x14ac:dyDescent="0.35">
      <c r="B18" s="130" t="s">
        <v>122</v>
      </c>
      <c r="C18" s="131">
        <f>IF(Data!D54="No",Data!C75,Data!D75)</f>
        <v>19086045.199999999</v>
      </c>
      <c r="D18" s="132"/>
      <c r="E18" s="133" t="str">
        <f>IF(E4="","",IF(F12="",E15*G17,E17*E15))</f>
        <v/>
      </c>
      <c r="F18" s="218"/>
      <c r="G18" s="218"/>
      <c r="H18" s="134"/>
      <c r="I18" s="93"/>
      <c r="M18" s="93"/>
    </row>
    <row r="19" spans="2:13" ht="15.75" customHeight="1" thickTop="1" x14ac:dyDescent="0.3">
      <c r="B19" s="8" t="s">
        <v>221</v>
      </c>
      <c r="C19" s="220"/>
      <c r="D19" s="135">
        <f>IF(D15="","",IF(E4="",D15*(1-D17),D15-D18))</f>
        <v>4141542.6229508198</v>
      </c>
      <c r="E19" s="135" t="str">
        <f>IF(E4="","",E15-E18)</f>
        <v/>
      </c>
      <c r="F19" s="135" t="str">
        <f>IF(F12="","",F15*(1-F17))</f>
        <v/>
      </c>
      <c r="G19" s="136">
        <f>G15*(1-G17)</f>
        <v>4286496.6147540985</v>
      </c>
      <c r="H19" s="134"/>
      <c r="I19" s="93"/>
      <c r="M19" s="93"/>
    </row>
    <row r="20" spans="2:13" ht="15.75" customHeight="1" x14ac:dyDescent="0.3">
      <c r="B20" s="17" t="s">
        <v>222</v>
      </c>
      <c r="C20" s="202"/>
      <c r="D20" s="200">
        <f>Dashboard!C11</f>
        <v>9.1499999999999998E-2</v>
      </c>
      <c r="E20" s="110" t="str">
        <f>IF(E4="","",D20)</f>
        <v/>
      </c>
      <c r="F20" s="110" t="str">
        <f>IF(F12="","",D20)</f>
        <v/>
      </c>
      <c r="G20" s="18">
        <f>Dashboard!C11</f>
        <v>9.1499999999999998E-2</v>
      </c>
      <c r="H20" s="99"/>
      <c r="I20" s="94"/>
      <c r="J20" s="6"/>
      <c r="M20" s="94"/>
    </row>
    <row r="21" spans="2:13" ht="15.75" customHeight="1" thickBot="1" x14ac:dyDescent="0.35">
      <c r="B21" s="137" t="s">
        <v>223</v>
      </c>
      <c r="C21" s="201"/>
      <c r="D21" s="203">
        <f>IF(D13="","",1+D20)</f>
        <v>1.0914999999999999</v>
      </c>
      <c r="E21" s="138" t="str">
        <f>IF(E4="","",(1+D20)*(1+E20))</f>
        <v/>
      </c>
      <c r="F21" s="138" t="str">
        <f>IF(F12="","",(1+D20)*(1+E20)*(1+F20))</f>
        <v/>
      </c>
      <c r="G21" s="139">
        <f>IF(F12="",IF(E4="",D21,E21),F21)*(1+G20)</f>
        <v>1.1913722499999999</v>
      </c>
      <c r="H21" s="99"/>
      <c r="I21" s="94"/>
      <c r="M21" s="94"/>
    </row>
    <row r="22" spans="2:13" ht="15.75" customHeight="1" thickTop="1" x14ac:dyDescent="0.3">
      <c r="B22" s="8" t="s">
        <v>224</v>
      </c>
      <c r="C22" s="199"/>
      <c r="D22" s="204">
        <f>IF(D13="","",D19/D21)</f>
        <v>3794358.7933585159</v>
      </c>
      <c r="E22" s="219" t="str">
        <f>IF(E4="","",E19/E21)</f>
        <v/>
      </c>
      <c r="F22" s="219" t="str">
        <f>IF(F12="","",F19/F21)</f>
        <v/>
      </c>
      <c r="G22" s="205"/>
      <c r="H22" s="128"/>
      <c r="I22" s="93"/>
      <c r="M22" s="93"/>
    </row>
    <row r="23" spans="2:13" ht="15.75" customHeight="1" x14ac:dyDescent="0.3">
      <c r="F23" s="6"/>
      <c r="G23" s="206"/>
    </row>
    <row r="24" spans="2:13" ht="15.75" customHeight="1" x14ac:dyDescent="0.3">
      <c r="B24" s="95" t="s">
        <v>225</v>
      </c>
      <c r="D24" s="140">
        <f>Data!C30</f>
        <v>57715600</v>
      </c>
      <c r="G24" s="6"/>
    </row>
    <row r="25" spans="2:13" ht="15.75" customHeight="1" x14ac:dyDescent="0.3">
      <c r="B25" s="95" t="s">
        <v>226</v>
      </c>
      <c r="D25" s="140">
        <f>'Asset Model'!D58</f>
        <v>207980250</v>
      </c>
    </row>
    <row r="26" spans="2:13" ht="15.75" customHeight="1" x14ac:dyDescent="0.3">
      <c r="B26" s="69" t="s">
        <v>227</v>
      </c>
      <c r="D26" s="140">
        <f>'Asset Model'!D55</f>
        <v>199111000</v>
      </c>
      <c r="G26" s="6"/>
    </row>
    <row r="27" spans="2:13" ht="15.75" customHeight="1" x14ac:dyDescent="0.3">
      <c r="B27" s="142" t="s">
        <v>228</v>
      </c>
      <c r="D27" s="140">
        <f>'Asset Model'!E50</f>
        <v>74738700</v>
      </c>
      <c r="E27" s="3" t="s">
        <v>229</v>
      </c>
      <c r="G27" s="243">
        <f>D24+D25-D26-D27</f>
        <v>-8153850</v>
      </c>
    </row>
    <row r="28" spans="2:13" ht="15.75" customHeight="1" x14ac:dyDescent="0.3"/>
    <row r="29" spans="2:13" ht="15.75" customHeight="1" x14ac:dyDescent="0.3">
      <c r="B29" s="27" t="s">
        <v>230</v>
      </c>
      <c r="C29" s="112" t="s">
        <v>231</v>
      </c>
    </row>
    <row r="30" spans="2:13" ht="15.75" customHeight="1" x14ac:dyDescent="0.3">
      <c r="B30" s="3" t="s">
        <v>232</v>
      </c>
      <c r="C30" s="140">
        <f>IF(OR(E12="",F12=""),D13,E13)*(1+G12)</f>
        <v>9255798</v>
      </c>
      <c r="F30" s="6" t="s">
        <v>233</v>
      </c>
      <c r="G30" s="14">
        <f>G20</f>
        <v>9.1499999999999998E-2</v>
      </c>
    </row>
    <row r="31" spans="2:13" ht="15.75" customHeight="1" x14ac:dyDescent="0.3">
      <c r="B31" s="3" t="s">
        <v>234</v>
      </c>
      <c r="C31" s="141">
        <f>IF(C30&lt;0, 0, (C30*(1-G14))/G30)</f>
        <v>75867196.72131148</v>
      </c>
    </row>
    <row r="32" spans="2:13" ht="15.75" customHeight="1" x14ac:dyDescent="0.3">
      <c r="B32" s="95" t="s">
        <v>235</v>
      </c>
      <c r="C32" s="140">
        <f>C31/(IF(OR(E12="",F12=""),D21,E21)*(1+G20))</f>
        <v>63680513.560150057</v>
      </c>
    </row>
    <row r="33" spans="2:13" ht="15.75" customHeight="1" x14ac:dyDescent="0.3">
      <c r="B33" s="95" t="s">
        <v>236</v>
      </c>
      <c r="C33" s="140">
        <f>IF(OR(E12="",F12=""),D15*0.5/D21,D22+E22)</f>
        <v>3072423.2707283557</v>
      </c>
    </row>
    <row r="34" spans="2:13" ht="15.75" customHeight="1" x14ac:dyDescent="0.3">
      <c r="B34" s="5" t="s">
        <v>237</v>
      </c>
      <c r="C34" s="143">
        <f>C32+C33+G27</f>
        <v>58599086.830878414</v>
      </c>
      <c r="D34" s="144" t="str">
        <f>Dashboard!I11</f>
        <v>HKD</v>
      </c>
      <c r="E34" s="6"/>
    </row>
    <row r="35" spans="2:13" ht="15.75" customHeight="1" x14ac:dyDescent="0.3">
      <c r="B35" s="5" t="s">
        <v>238</v>
      </c>
      <c r="C35" s="145">
        <f>C34*Data!C4/Common_Shares*Exchange_Rate</f>
        <v>23.284715272028979</v>
      </c>
      <c r="D35" s="65" t="str">
        <f>Dashboard!J4</f>
        <v>HKD</v>
      </c>
      <c r="E35" s="6"/>
    </row>
    <row r="36" spans="2:13" ht="15.75" customHeight="1" x14ac:dyDescent="0.3">
      <c r="B36" s="27" t="s">
        <v>239</v>
      </c>
      <c r="C36" s="146"/>
      <c r="D36" s="24"/>
      <c r="E36" s="147"/>
      <c r="F36" s="148"/>
    </row>
    <row r="37" spans="2:13" ht="15.75" customHeight="1" x14ac:dyDescent="0.3">
      <c r="B37" s="3" t="s">
        <v>232</v>
      </c>
      <c r="C37" s="140">
        <f>G13</f>
        <v>9255798</v>
      </c>
      <c r="D37" s="24">
        <f>C37*Data!C$4/Dashboard!I5</f>
        <v>3.6778494802729438</v>
      </c>
      <c r="E37" s="147"/>
      <c r="F37" s="148"/>
    </row>
    <row r="38" spans="2:13" ht="15.75" customHeight="1" thickBot="1" x14ac:dyDescent="0.35">
      <c r="B38" s="69" t="s">
        <v>234</v>
      </c>
      <c r="C38" s="141">
        <f>G19/(G20-G12)</f>
        <v>75867196.72131148</v>
      </c>
      <c r="D38" s="149"/>
      <c r="F38" s="6" t="s">
        <v>233</v>
      </c>
      <c r="G38" s="14">
        <f>G15/C38</f>
        <v>9.1499999999999998E-2</v>
      </c>
      <c r="M38" s="1"/>
    </row>
    <row r="39" spans="2:13" ht="15.75" customHeight="1" thickTop="1" x14ac:dyDescent="0.3">
      <c r="B39" s="95" t="s">
        <v>240</v>
      </c>
      <c r="C39" s="140">
        <f>C38/G21</f>
        <v>63680513.560150057</v>
      </c>
      <c r="D39" s="150"/>
      <c r="F39" s="6"/>
      <c r="G39" s="6"/>
      <c r="I39" s="377"/>
      <c r="J39" s="377"/>
      <c r="K39" s="377"/>
      <c r="L39" s="151"/>
      <c r="M39" s="152"/>
    </row>
    <row r="40" spans="2:13" ht="15.75" customHeight="1" thickBot="1" x14ac:dyDescent="0.35">
      <c r="B40" s="95" t="s">
        <v>241</v>
      </c>
      <c r="C40" s="140">
        <f>SUM(D22:F22)</f>
        <v>3794358.7933585159</v>
      </c>
      <c r="D40" s="150"/>
      <c r="F40" s="6"/>
      <c r="G40" s="6"/>
      <c r="I40" s="29"/>
      <c r="J40" s="29"/>
      <c r="K40" s="29"/>
      <c r="L40" s="151"/>
      <c r="M40" s="152"/>
    </row>
    <row r="41" spans="2:13" ht="15.75" customHeight="1" thickTop="1" x14ac:dyDescent="0.3">
      <c r="B41" s="5" t="s">
        <v>237</v>
      </c>
      <c r="C41" s="143">
        <f>C40+C39+G27</f>
        <v>59321022.353508577</v>
      </c>
      <c r="D41" s="144" t="str">
        <f>Dashboard!I11</f>
        <v>HKD</v>
      </c>
      <c r="E41" s="147"/>
      <c r="F41" s="148"/>
      <c r="G41" s="6"/>
      <c r="H41" s="153"/>
      <c r="I41" s="6"/>
    </row>
    <row r="42" spans="2:13" ht="15.75" customHeight="1" x14ac:dyDescent="0.3">
      <c r="B42" s="5" t="s">
        <v>238</v>
      </c>
      <c r="C42" s="145">
        <f>C41*Data!C4/Common_Shares*Exchange_Rate</f>
        <v>23.571580887148919</v>
      </c>
      <c r="D42" s="65" t="str">
        <f>Dashboard!J4</f>
        <v>HKD</v>
      </c>
      <c r="E42" s="147"/>
      <c r="F42" s="148"/>
      <c r="G42" s="6"/>
    </row>
    <row r="43" spans="2:13" ht="15.75" customHeight="1" x14ac:dyDescent="0.3">
      <c r="C43" s="6"/>
      <c r="D43" s="6"/>
      <c r="F43" s="6"/>
      <c r="I43" s="69"/>
      <c r="J43" s="154"/>
    </row>
    <row r="44" spans="2:13" ht="15.75" customHeight="1" x14ac:dyDescent="0.3">
      <c r="B44" s="232" t="str">
        <f>"Exit @ Beg. Year "&amp;IF(F3="",IF(E3="",2,3),4)</f>
        <v>Exit @ Beg. Year 3</v>
      </c>
      <c r="C44" s="155" t="s">
        <v>242</v>
      </c>
      <c r="D44" s="30" t="s">
        <v>243</v>
      </c>
      <c r="E44" s="155" t="s">
        <v>244</v>
      </c>
      <c r="F44" s="156" t="s">
        <v>245</v>
      </c>
      <c r="G44" s="155" t="s">
        <v>246</v>
      </c>
      <c r="I44" s="157" t="s">
        <v>207</v>
      </c>
    </row>
    <row r="45" spans="2:13" ht="15.75" hidden="1" customHeight="1" x14ac:dyDescent="0.3">
      <c r="C45" s="6"/>
      <c r="D45" s="6"/>
      <c r="E45" s="158">
        <f>G15/G38</f>
        <v>75867196.72131148</v>
      </c>
      <c r="F45" s="159"/>
      <c r="I45" s="160"/>
    </row>
    <row r="46" spans="2:13" ht="15.75" customHeight="1" x14ac:dyDescent="0.3">
      <c r="B46" s="254" t="s">
        <v>247</v>
      </c>
      <c r="C46" s="161">
        <f>1/D46</f>
        <v>10.928961748633879</v>
      </c>
      <c r="D46" s="14">
        <f>G38</f>
        <v>9.1499999999999998E-2</v>
      </c>
      <c r="E46" s="162">
        <f t="dataTable" ref="E46:E51" dt2D="0" dtr="0" r1="G38" ca="1"/>
        <v>75867196.72131148</v>
      </c>
      <c r="F46" s="163">
        <f>(E46/G21+C40+G27)*Data!C$4/Common_Shares*Exchange_Rate</f>
        <v>23.571580887148919</v>
      </c>
      <c r="G46" s="164">
        <f>IF(Data!F$3&lt;=0,"NNI",F46/((Data!F$3*Exchange_Rate)/(Common_Shares/Data!C$4)))</f>
        <v>47.48720969701295</v>
      </c>
      <c r="I46" s="112" t="s">
        <v>248</v>
      </c>
    </row>
    <row r="47" spans="2:13" ht="15.75" customHeight="1" x14ac:dyDescent="0.3">
      <c r="B47" s="254"/>
      <c r="C47" s="165">
        <f>1/D47</f>
        <v>11.210762331838565</v>
      </c>
      <c r="D47" s="14">
        <f>D46-((D$46-D$51)/5)</f>
        <v>8.9200000000000002E-2</v>
      </c>
      <c r="E47" s="166">
        <v>77823413.677130044</v>
      </c>
      <c r="F47" s="163">
        <f>(E47/G21+C40+G27)*Data!C$4/Common_Shares*Exchange_Rate</f>
        <v>24.224034472801911</v>
      </c>
      <c r="G47" s="165">
        <f>IF(Data!F$3&lt;=0,"NNI",F47/((Data!F$3*Exchange_Rate)/(Common_Shares/Data!C$4)))</f>
        <v>48.801640001361505</v>
      </c>
      <c r="I47" s="112"/>
    </row>
    <row r="48" spans="2:13" ht="15.75" customHeight="1" x14ac:dyDescent="0.3">
      <c r="B48" s="254"/>
      <c r="C48" s="165">
        <f>1/D48</f>
        <v>11.507479861910241</v>
      </c>
      <c r="D48" s="14">
        <f>D47-((D$46-D$51)/5)</f>
        <v>8.6900000000000005E-2</v>
      </c>
      <c r="E48" s="166">
        <v>81172222.871842831</v>
      </c>
      <c r="F48" s="163">
        <f>(E48/G21+C40+G27)*Data!C$4/Common_Shares*Exchange_Rate</f>
        <v>25.340956887904781</v>
      </c>
      <c r="G48" s="165">
        <f>IF(Data!F$3&lt;=0,"NNI",F48/((Data!F$3*Exchange_Rate)/(Common_Shares/Data!C$4)))</f>
        <v>51.051787295054517</v>
      </c>
      <c r="I48" s="112"/>
    </row>
    <row r="49" spans="1:12" ht="15.75" customHeight="1" x14ac:dyDescent="0.3">
      <c r="B49" s="254"/>
      <c r="C49" s="165">
        <f t="shared" ref="C49:C50" si="2">1/D49</f>
        <v>11.820330969267138</v>
      </c>
      <c r="D49" s="14">
        <f>D48-((D$46-D$51)/5)</f>
        <v>8.4600000000000009E-2</v>
      </c>
      <c r="E49" s="166">
        <v>84442493.431296229</v>
      </c>
      <c r="F49" s="163">
        <f>(E49/G21+C40+G27)*Data!C$4/Common_Shares*Exchange_Rate</f>
        <v>26.431684450726639</v>
      </c>
      <c r="G49" s="165">
        <f>IF(Data!F$3&lt;=0,"NNI",F49/((Data!F$3*Exchange_Rate)/(Common_Shares/Data!C$4)))</f>
        <v>53.249162547313141</v>
      </c>
      <c r="I49" s="112" t="s">
        <v>249</v>
      </c>
    </row>
    <row r="50" spans="1:12" ht="15.75" customHeight="1" x14ac:dyDescent="0.3">
      <c r="B50" s="254"/>
      <c r="C50" s="165">
        <f t="shared" si="2"/>
        <v>12.150668286755769</v>
      </c>
      <c r="D50" s="14">
        <f>D49-((D$46-D$51)/5)</f>
        <v>8.2300000000000012E-2</v>
      </c>
      <c r="E50" s="166">
        <v>86296748.19993636</v>
      </c>
      <c r="F50" s="163">
        <f>(E50/G21+C40+G27)*Data!C$4/Common_Shares*Exchange_Rate</f>
        <v>27.050130768204333</v>
      </c>
      <c r="G50" s="165">
        <f>IF(Data!F$3&lt;=0,"NNI",F50/((Data!F$3*Exchange_Rate)/(Common_Shares/Data!C$4)))</f>
        <v>54.495081949368192</v>
      </c>
      <c r="I50" s="112"/>
    </row>
    <row r="51" spans="1:12" ht="15.75" customHeight="1" x14ac:dyDescent="0.3">
      <c r="B51" s="262" t="s">
        <v>250</v>
      </c>
      <c r="C51" s="167">
        <f>1/D51</f>
        <v>12.5</v>
      </c>
      <c r="D51" s="260">
        <f>'Qualitative Analysis'!E21</f>
        <v>0.08</v>
      </c>
      <c r="E51" s="168">
        <v>86773106.25</v>
      </c>
      <c r="F51" s="169">
        <f>(E51/G21+C40+G27)*Data!C$4/Common_Shares*Exchange_Rate</f>
        <v>27.209009627164352</v>
      </c>
      <c r="G51" s="167">
        <f>IF(Data!F$3&lt;=0,"NNI",F51/((Data!F$3*Exchange_Rate)/(Common_Shares/Data!C$4)))</f>
        <v>54.815158643756128</v>
      </c>
      <c r="I51" s="112"/>
    </row>
    <row r="52" spans="1:12" ht="15.75" customHeight="1" x14ac:dyDescent="0.3">
      <c r="C52" s="6"/>
      <c r="D52" s="6"/>
      <c r="E52" s="6"/>
      <c r="F52" s="6"/>
      <c r="G52" s="6"/>
    </row>
    <row r="53" spans="1:12" ht="15.75" customHeight="1" x14ac:dyDescent="0.3">
      <c r="A53" s="10"/>
      <c r="B53" s="11" t="s">
        <v>24</v>
      </c>
      <c r="C53" s="30" t="s">
        <v>248</v>
      </c>
      <c r="D53" s="156"/>
      <c r="E53" s="156" t="str">
        <f>IF(D54="&gt;","Hight future interest rate scenario","Optimistic scenario")</f>
        <v>Optimistic scenario</v>
      </c>
      <c r="F53" s="156"/>
      <c r="G53" s="156"/>
      <c r="H53" s="12"/>
      <c r="I53" s="171"/>
      <c r="J53" s="12"/>
      <c r="K53" s="12"/>
      <c r="L53" s="12"/>
    </row>
    <row r="54" spans="1:12" ht="15.75" customHeight="1" x14ac:dyDescent="0.3">
      <c r="A54" s="6"/>
      <c r="B54" s="108" t="s">
        <v>251</v>
      </c>
      <c r="C54" s="172">
        <f>MIN('Asset Model'!D7,C35)+(ABS('Asset Model'!D7-C35)*'Qualitative Analysis'!E84)</f>
        <v>14.325165373865644</v>
      </c>
      <c r="D54" s="24" t="str">
        <f>IF(C54&lt;E54,"&lt;",IF(C54=E54,"=","&gt;"))</f>
        <v>&lt;</v>
      </c>
      <c r="E54" s="163">
        <f>F51</f>
        <v>27.209009627164352</v>
      </c>
      <c r="F54" s="6"/>
      <c r="G54" s="6"/>
      <c r="H54" s="6"/>
      <c r="I54" s="6"/>
      <c r="L54" s="6"/>
    </row>
    <row r="55" spans="1:12" ht="15.75" customHeight="1" x14ac:dyDescent="0.3">
      <c r="B55" s="6"/>
      <c r="C55" s="227"/>
      <c r="D55" s="227"/>
      <c r="E55" s="227"/>
      <c r="F55" s="227"/>
      <c r="G55" s="228"/>
      <c r="H55" s="6"/>
      <c r="I55" s="166"/>
      <c r="J55" s="6"/>
    </row>
    <row r="56" spans="1:12" ht="15.75" customHeight="1" x14ac:dyDescent="0.3">
      <c r="C56" s="349" t="s">
        <v>252</v>
      </c>
      <c r="D56" s="378"/>
      <c r="E56" s="36" t="s">
        <v>26</v>
      </c>
      <c r="F56" s="36" t="s">
        <v>27</v>
      </c>
      <c r="G56" s="36"/>
      <c r="H56" s="6"/>
    </row>
    <row r="57" spans="1:12" ht="15.75" customHeight="1" x14ac:dyDescent="0.3">
      <c r="B57" s="6" t="s">
        <v>253</v>
      </c>
      <c r="C57" s="173">
        <f>MIN(C54,E54)+(ABS(C54-E54)*'Qualitative Analysis'!E84)</f>
        <v>22.251532410070769</v>
      </c>
      <c r="D57" s="223" t="str">
        <f>D42</f>
        <v>HKD</v>
      </c>
      <c r="E57" s="224">
        <f>IF(Data!F3&lt;=0,"NNI",C57/((Data!F3*Exchange_Rate)/(Common_Shares/Data!C4)))</f>
        <v>44.827845476117254</v>
      </c>
      <c r="F57" s="293">
        <f>C57/(Data!C28*Exchange_Rate*Data!C4/Common_Shares)</f>
        <v>0.19437409863826463</v>
      </c>
      <c r="G57" s="159"/>
      <c r="H57" s="6"/>
      <c r="I57" s="112" t="s">
        <v>254</v>
      </c>
    </row>
    <row r="58" spans="1:12" ht="15.75" customHeight="1" x14ac:dyDescent="0.3"/>
    <row r="59" spans="1:12" ht="15.75" customHeight="1" x14ac:dyDescent="0.3"/>
    <row r="60" spans="1:12" ht="15.75" customHeight="1" x14ac:dyDescent="0.3"/>
    <row r="61" spans="1:12" ht="15.75" customHeight="1" x14ac:dyDescent="0.3"/>
    <row r="62" spans="1:12" ht="15.75" customHeight="1" x14ac:dyDescent="0.3"/>
    <row r="63" spans="1:12" ht="15.75" customHeight="1" x14ac:dyDescent="0.3"/>
    <row r="64" spans="1:1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</sheetData>
  <mergeCells count="2">
    <mergeCell ref="I39:K39"/>
    <mergeCell ref="C56:D56"/>
  </mergeCells>
  <conditionalFormatting sqref="C30">
    <cfRule type="containsBlanks" dxfId="4" priority="11">
      <formula>LEN(TRIM(C30))=0</formula>
    </cfRule>
  </conditionalFormatting>
  <conditionalFormatting sqref="C32">
    <cfRule type="containsBlanks" dxfId="3" priority="10">
      <formula>LEN(TRIM(C32))=0</formula>
    </cfRule>
  </conditionalFormatting>
  <conditionalFormatting sqref="C37">
    <cfRule type="containsBlanks" dxfId="2" priority="9">
      <formula>LEN(TRIM(C37))=0</formula>
    </cfRule>
  </conditionalFormatting>
  <conditionalFormatting sqref="E46:F51">
    <cfRule type="cellIs" dxfId="1" priority="24" operator="equal">
      <formula>$E$54</formula>
    </cfRule>
  </conditionalFormatting>
  <conditionalFormatting sqref="E5:E22 F13:F22">
    <cfRule type="containsBlanks" dxfId="0" priority="3">
      <formula>LEN(TRIM(E5))=0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97"/>
  <sheetViews>
    <sheetView showGridLines="0" zoomScaleNormal="100" workbookViewId="0">
      <selection activeCell="E13" sqref="E13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5" x14ac:dyDescent="0.3">
      <c r="A2" s="4"/>
      <c r="B2" s="11" t="s">
        <v>255</v>
      </c>
      <c r="C2" s="177"/>
      <c r="D2" s="12"/>
      <c r="E2" s="12"/>
    </row>
    <row r="3" spans="1:5" ht="14" x14ac:dyDescent="0.3">
      <c r="B3" s="178" t="s">
        <v>256</v>
      </c>
      <c r="C3" s="179"/>
      <c r="D3" s="6"/>
      <c r="E3" s="6"/>
    </row>
    <row r="4" spans="1:5" ht="14" x14ac:dyDescent="0.3">
      <c r="B4" s="6" t="s">
        <v>257</v>
      </c>
      <c r="C4" s="179"/>
      <c r="D4" s="176">
        <f>IF(E4="Strongly disagree",0,IF(E4="disagree",1,IF(E4="unclear",2,IF(E4="agree",3,4))))</f>
        <v>2</v>
      </c>
      <c r="E4" s="37" t="s">
        <v>258</v>
      </c>
    </row>
    <row r="5" spans="1:5" ht="14" x14ac:dyDescent="0.3">
      <c r="B5" s="6" t="s">
        <v>259</v>
      </c>
      <c r="C5" s="179"/>
      <c r="D5" s="176">
        <f t="shared" ref="D5" si="0">IF(E5="Strongly disagree",0,IF(E5="disagree",1,IF(E5="unclear",2,IF(E5="agree",3,4))))</f>
        <v>3</v>
      </c>
      <c r="E5" s="37" t="s">
        <v>260</v>
      </c>
    </row>
    <row r="6" spans="1:5" ht="14" x14ac:dyDescent="0.3">
      <c r="B6" s="6" t="s">
        <v>261</v>
      </c>
      <c r="C6" s="179"/>
      <c r="D6" s="176">
        <f>IF(E6="Strongly disagree",0,IF(E6="disagree",1,IF(E6="unclear",2,IF(E6="agree",3,4))))</f>
        <v>3</v>
      </c>
      <c r="E6" s="37" t="s">
        <v>260</v>
      </c>
    </row>
    <row r="7" spans="1:5" ht="14" x14ac:dyDescent="0.3">
      <c r="B7" s="180" t="s">
        <v>262</v>
      </c>
      <c r="C7" s="179"/>
      <c r="D7" s="176">
        <f>AVERAGE(D4:D6)</f>
        <v>2.6666666666666665</v>
      </c>
      <c r="E7" s="181">
        <f>D7/4</f>
        <v>0.66666666666666663</v>
      </c>
    </row>
    <row r="8" spans="1:5" ht="14" x14ac:dyDescent="0.3">
      <c r="B8" s="179"/>
      <c r="C8" s="179"/>
      <c r="E8" s="6"/>
    </row>
    <row r="9" spans="1:5" ht="14" x14ac:dyDescent="0.3">
      <c r="B9" s="182" t="s">
        <v>263</v>
      </c>
      <c r="C9" s="69"/>
      <c r="D9" s="44"/>
      <c r="E9" s="24"/>
    </row>
    <row r="10" spans="1:5" ht="14" x14ac:dyDescent="0.3">
      <c r="B10" s="3" t="s">
        <v>264</v>
      </c>
      <c r="D10" s="183">
        <f>IF(E10="Strongly disagree",0,IF(E10="disagree",1,IF(E10="unclear",2,IF(E10="agree",3,4))))</f>
        <v>3</v>
      </c>
      <c r="E10" s="37" t="s">
        <v>260</v>
      </c>
    </row>
    <row r="11" spans="1:5" ht="14" x14ac:dyDescent="0.3">
      <c r="B11" s="3" t="s">
        <v>265</v>
      </c>
      <c r="C11" s="69"/>
      <c r="D11" s="183">
        <f>IF(E11="Strongly disagree",0,IF(E11="disagree",1,IF(E11="unclear",2,IF(E11="agree",3,4))))</f>
        <v>3</v>
      </c>
      <c r="E11" s="185" t="str">
        <f>IF(D7&gt;=3.5,"Strongly agree",IF(D7&gt;=2.5,"agree",IF(D7&gt;=1.5,"unclear",IF(D7&gt;=0.5,"disagree","Strongly disagree"))))</f>
        <v>agree</v>
      </c>
    </row>
    <row r="12" spans="1:5" ht="14" x14ac:dyDescent="0.3">
      <c r="B12" s="3" t="s">
        <v>266</v>
      </c>
      <c r="D12" s="183">
        <f>IF(E12="Strongly disagree",0,IF(E12="disagree",1,IF(E12="unclear",2,IF(E12="agree",3,4))))</f>
        <v>2</v>
      </c>
      <c r="E12" s="184" t="str">
        <f>IF(D84&gt;=3.5,"Strongly agree",IF(D84&gt;=2.5,"agree",IF(D84&gt;=1.5,"unclear",IF(D84&gt;=0.5,"disagree","Strongly disagree"))))</f>
        <v>unclear</v>
      </c>
    </row>
    <row r="13" spans="1:5" ht="14" x14ac:dyDescent="0.3">
      <c r="B13" s="180" t="s">
        <v>267</v>
      </c>
      <c r="D13" s="183">
        <f>AVERAGE(D10:D12)</f>
        <v>2.6666666666666665</v>
      </c>
      <c r="E13" s="181">
        <f>D13/3</f>
        <v>0.88888888888888884</v>
      </c>
    </row>
    <row r="14" spans="1:5" ht="14" x14ac:dyDescent="0.3">
      <c r="B14" s="180"/>
      <c r="D14" s="183"/>
      <c r="E14" s="159"/>
    </row>
    <row r="15" spans="1:5" x14ac:dyDescent="0.3">
      <c r="A15" s="4"/>
      <c r="B15" s="11" t="s">
        <v>268</v>
      </c>
      <c r="C15" s="21" t="s">
        <v>269</v>
      </c>
      <c r="D15" s="21"/>
      <c r="E15" s="12"/>
    </row>
    <row r="16" spans="1:5" ht="14" x14ac:dyDescent="0.3">
      <c r="B16" s="300" t="s">
        <v>270</v>
      </c>
      <c r="C16" s="6"/>
      <c r="D16" s="165">
        <f>1/E16</f>
        <v>12.5</v>
      </c>
      <c r="E16" s="259">
        <v>0.08</v>
      </c>
    </row>
    <row r="17" spans="1:6" ht="14" x14ac:dyDescent="0.3">
      <c r="B17" s="3" t="s">
        <v>271</v>
      </c>
      <c r="C17" s="6"/>
      <c r="D17" s="183" t="str">
        <f>IF(LEFT(E17,3)="(+)","+","-")</f>
        <v>-</v>
      </c>
      <c r="E17" s="37" t="s">
        <v>272</v>
      </c>
      <c r="F17" s="6"/>
    </row>
    <row r="18" spans="1:6" ht="14" x14ac:dyDescent="0.3">
      <c r="B18" s="3" t="s">
        <v>273</v>
      </c>
      <c r="D18" s="183" t="str">
        <f t="shared" ref="D18:D19" si="1">IF(LEFT(E18,3)="(+)","+","-")</f>
        <v>-</v>
      </c>
      <c r="E18" s="258" t="s">
        <v>274</v>
      </c>
    </row>
    <row r="19" spans="1:6" ht="14" x14ac:dyDescent="0.3">
      <c r="B19" s="3" t="s">
        <v>275</v>
      </c>
      <c r="D19" s="183" t="str">
        <f t="shared" si="1"/>
        <v>+</v>
      </c>
      <c r="E19" s="37" t="s">
        <v>276</v>
      </c>
    </row>
    <row r="20" spans="1:6" ht="14" x14ac:dyDescent="0.3">
      <c r="B20" s="180" t="s">
        <v>277</v>
      </c>
      <c r="D20" s="183" t="str">
        <f>D17&amp;D18&amp;D19</f>
        <v>--+</v>
      </c>
      <c r="E20" s="261" t="str">
        <f>IF(D20="+-+","Growth", IF(D20="+--","Mature", "Shakeout/Decline")) &amp; " stage"</f>
        <v>Shakeout/Decline stage</v>
      </c>
    </row>
    <row r="21" spans="1:6" ht="14" x14ac:dyDescent="0.3">
      <c r="B21" s="180" t="s">
        <v>278</v>
      </c>
      <c r="D21" s="165">
        <f>1/E21</f>
        <v>12.5</v>
      </c>
      <c r="E21" s="181">
        <f>IF(LEFT(E20,1)="G", E16/2.4, IF(LEFT(E20,1)="M", E16/1.8, E16))</f>
        <v>0.08</v>
      </c>
      <c r="F21" s="6"/>
    </row>
    <row r="22" spans="1:6" ht="15" customHeight="1" x14ac:dyDescent="0.3">
      <c r="E22" s="6"/>
    </row>
    <row r="23" spans="1:6" ht="15" customHeight="1" x14ac:dyDescent="0.3">
      <c r="A23" s="4"/>
      <c r="B23" s="11" t="s">
        <v>279</v>
      </c>
      <c r="C23" s="21"/>
      <c r="D23" s="21"/>
      <c r="E23" s="12"/>
    </row>
    <row r="24" spans="1:6" ht="15" customHeight="1" x14ac:dyDescent="0.3">
      <c r="B24" s="182" t="s">
        <v>280</v>
      </c>
      <c r="C24" s="175"/>
      <c r="E24" s="6"/>
    </row>
    <row r="25" spans="1:6" ht="15" customHeight="1" x14ac:dyDescent="0.3">
      <c r="B25" s="69" t="s">
        <v>281</v>
      </c>
      <c r="D25" s="183">
        <f>IF(E25="Strongly disagree",0,IF(E25="disagree",1,IF(E25="unclear",2,IF(E25="agree",3,4))))</f>
        <v>3</v>
      </c>
      <c r="E25" s="184" t="str">
        <f>E11</f>
        <v>agree</v>
      </c>
      <c r="F25" s="6"/>
    </row>
    <row r="26" spans="1:6" ht="15" customHeight="1" x14ac:dyDescent="0.3">
      <c r="B26" s="69" t="s">
        <v>282</v>
      </c>
      <c r="D26" s="183">
        <f>IF(E26="Strongly disagree",0,IF(E26="disagree",1,IF(E26="unclear",2,IF(E26="agree",3,4))))</f>
        <v>3</v>
      </c>
      <c r="E26" s="37" t="s">
        <v>260</v>
      </c>
      <c r="F26" s="6"/>
    </row>
    <row r="27" spans="1:6" ht="15" customHeight="1" x14ac:dyDescent="0.3">
      <c r="B27" s="69" t="s">
        <v>283</v>
      </c>
      <c r="D27" s="183">
        <f>IF(E27="Strongly disagree",0,IF(E27="disagree",1,IF(E27="unclear",2,IF(E27="agree",3,4))))</f>
        <v>2</v>
      </c>
      <c r="E27" s="37" t="s">
        <v>258</v>
      </c>
      <c r="F27" s="6"/>
    </row>
    <row r="28" spans="1:6" ht="15" customHeight="1" x14ac:dyDescent="0.3">
      <c r="B28" s="69" t="s">
        <v>284</v>
      </c>
      <c r="D28" s="183">
        <f>IF(E28="Strongly disagree",0,IF(E28="disagree",1,IF(E28="unclear",2,IF(E28="agree",3,4))))</f>
        <v>1</v>
      </c>
      <c r="E28" s="37" t="s">
        <v>285</v>
      </c>
      <c r="F28" s="6"/>
    </row>
    <row r="29" spans="1:6" ht="15" customHeight="1" x14ac:dyDescent="0.3">
      <c r="B29" s="69" t="s">
        <v>286</v>
      </c>
      <c r="D29" s="183">
        <f>IF(E29="Strongly disagree",0,IF(E29="disagree",1,IF(E29="unclear",2,IF(E29="agree",3,4))))</f>
        <v>4</v>
      </c>
      <c r="E29" s="37" t="s">
        <v>287</v>
      </c>
      <c r="F29" s="6"/>
    </row>
    <row r="30" spans="1:6" ht="15" customHeight="1" x14ac:dyDescent="0.3">
      <c r="B30" s="182" t="s">
        <v>288</v>
      </c>
      <c r="D30" s="44"/>
      <c r="E30" s="24"/>
    </row>
    <row r="31" spans="1:6" ht="15" customHeight="1" x14ac:dyDescent="0.3">
      <c r="B31" s="69" t="s">
        <v>289</v>
      </c>
      <c r="D31" s="183">
        <f>IF(E31="Strongly disagree",0,IF(E31="disagree",1,IF(E31="unclear",2,IF(E31="agree",3,4))))</f>
        <v>0</v>
      </c>
      <c r="E31" s="64" t="str">
        <f>IF(OR('Asset Model'!H24&lt;1,'Asset Model'!H44&lt;1),"Strongly disagree",
IF(OR('Asset Model'!H24&lt;2,'Asset Model'!H44&lt;2),"unclear", IF(OR('Asset Model'!H24&lt;5,'Asset Model'!H44&lt;5),"agree","Strongly agree"))
)</f>
        <v>Strongly disagree</v>
      </c>
      <c r="F31" s="6"/>
    </row>
    <row r="32" spans="1:6" ht="15" customHeight="1" x14ac:dyDescent="0.3">
      <c r="B32" s="69" t="s">
        <v>290</v>
      </c>
      <c r="D32" s="183">
        <f t="shared" ref="D32:D35" si="2">IF(E32="Strongly disagree",0,IF(E32="disagree",1,IF(E32="unclear",2,IF(E32="agree",3,4))))</f>
        <v>3</v>
      </c>
      <c r="E32" s="37" t="s">
        <v>260</v>
      </c>
      <c r="F32" s="6"/>
    </row>
    <row r="33" spans="2:6" ht="15" customHeight="1" x14ac:dyDescent="0.3">
      <c r="B33" s="69" t="s">
        <v>291</v>
      </c>
      <c r="D33" s="183">
        <f t="shared" si="2"/>
        <v>1</v>
      </c>
      <c r="E33" s="37" t="s">
        <v>285</v>
      </c>
      <c r="F33" s="6"/>
    </row>
    <row r="34" spans="2:6" ht="15" customHeight="1" x14ac:dyDescent="0.3">
      <c r="B34" s="69" t="s">
        <v>292</v>
      </c>
      <c r="D34" s="183">
        <f t="shared" si="2"/>
        <v>3</v>
      </c>
      <c r="E34" s="37" t="s">
        <v>260</v>
      </c>
      <c r="F34" s="6"/>
    </row>
    <row r="35" spans="2:6" ht="15" customHeight="1" x14ac:dyDescent="0.3">
      <c r="B35" s="69" t="s">
        <v>293</v>
      </c>
      <c r="D35" s="183">
        <f t="shared" si="2"/>
        <v>3</v>
      </c>
      <c r="E35" s="37" t="s">
        <v>260</v>
      </c>
      <c r="F35" s="6"/>
    </row>
    <row r="36" spans="2:6" ht="15" customHeight="1" x14ac:dyDescent="0.3">
      <c r="B36" s="182" t="s">
        <v>294</v>
      </c>
      <c r="D36" s="44"/>
      <c r="E36" s="24"/>
    </row>
    <row r="37" spans="2:6" ht="15" customHeight="1" x14ac:dyDescent="0.3">
      <c r="B37" s="69" t="s">
        <v>295</v>
      </c>
      <c r="D37" s="183">
        <f t="shared" ref="D37:D41" si="3">IF(E37="Strongly disagree",0,IF(E37="disagree",1,IF(E37="unclear",2,IF(E37="agree",3,4))))</f>
        <v>4</v>
      </c>
      <c r="E37" s="37" t="s">
        <v>287</v>
      </c>
      <c r="F37" s="6"/>
    </row>
    <row r="38" spans="2:6" ht="15" customHeight="1" x14ac:dyDescent="0.3">
      <c r="B38" s="69" t="s">
        <v>296</v>
      </c>
      <c r="D38" s="183">
        <f t="shared" si="3"/>
        <v>3</v>
      </c>
      <c r="E38" s="37" t="s">
        <v>260</v>
      </c>
      <c r="F38" s="6"/>
    </row>
    <row r="39" spans="2:6" ht="15" customHeight="1" x14ac:dyDescent="0.3">
      <c r="B39" s="69" t="s">
        <v>297</v>
      </c>
      <c r="D39" s="183">
        <f t="shared" si="3"/>
        <v>4</v>
      </c>
      <c r="E39" s="37" t="s">
        <v>287</v>
      </c>
      <c r="F39" s="6"/>
    </row>
    <row r="40" spans="2:6" ht="15" customHeight="1" x14ac:dyDescent="0.3">
      <c r="B40" s="69" t="s">
        <v>298</v>
      </c>
      <c r="D40" s="183">
        <f t="shared" si="3"/>
        <v>2</v>
      </c>
      <c r="E40" s="37" t="s">
        <v>258</v>
      </c>
      <c r="F40" s="6"/>
    </row>
    <row r="41" spans="2:6" ht="15" customHeight="1" x14ac:dyDescent="0.3">
      <c r="B41" s="69" t="s">
        <v>299</v>
      </c>
      <c r="D41" s="183">
        <f t="shared" si="3"/>
        <v>3</v>
      </c>
      <c r="E41" s="37" t="s">
        <v>260</v>
      </c>
      <c r="F41" s="6"/>
    </row>
    <row r="42" spans="2:6" ht="15" customHeight="1" x14ac:dyDescent="0.3">
      <c r="B42" s="182" t="s">
        <v>300</v>
      </c>
      <c r="D42" s="44"/>
      <c r="E42" s="24"/>
    </row>
    <row r="43" spans="2:6" ht="15" customHeight="1" x14ac:dyDescent="0.3">
      <c r="B43" s="1" t="s">
        <v>301</v>
      </c>
      <c r="D43" s="186">
        <f>SUM(D44:D49)/(6*4)</f>
        <v>0.45833333333333331</v>
      </c>
      <c r="E43" s="64" t="str">
        <f>IF(D43&gt;80%,"Very High",IF(D43&lt;=20%,"Very Low",IF(D43&lt;=40%,"Low",IF(D43&lt;=60%,"Medium","High"))))</f>
        <v>Medium</v>
      </c>
      <c r="F43" s="6"/>
    </row>
    <row r="44" spans="2:6" ht="15" customHeight="1" x14ac:dyDescent="0.3">
      <c r="B44" s="69" t="s">
        <v>302</v>
      </c>
      <c r="D44" s="183">
        <f t="shared" ref="D44:D49" si="4">IF(E44="Strongly disagree",0,IF(E44="disagree",1,IF(E44="unclear",2,IF(E44="agree",3,4))))</f>
        <v>0</v>
      </c>
      <c r="E44" s="37" t="s">
        <v>303</v>
      </c>
      <c r="F44" s="6"/>
    </row>
    <row r="45" spans="2:6" ht="15" customHeight="1" x14ac:dyDescent="0.3">
      <c r="B45" s="69" t="s">
        <v>304</v>
      </c>
      <c r="D45" s="183">
        <f t="shared" si="4"/>
        <v>3</v>
      </c>
      <c r="E45" s="37" t="s">
        <v>260</v>
      </c>
      <c r="F45" s="6"/>
    </row>
    <row r="46" spans="2:6" ht="15" customHeight="1" x14ac:dyDescent="0.3">
      <c r="B46" s="69" t="s">
        <v>305</v>
      </c>
      <c r="D46" s="183">
        <f t="shared" si="4"/>
        <v>4</v>
      </c>
      <c r="E46" s="37" t="s">
        <v>287</v>
      </c>
      <c r="F46" s="6"/>
    </row>
    <row r="47" spans="2:6" ht="15" customHeight="1" x14ac:dyDescent="0.3">
      <c r="B47" s="69" t="s">
        <v>306</v>
      </c>
      <c r="D47" s="183">
        <f t="shared" si="4"/>
        <v>0</v>
      </c>
      <c r="E47" s="37" t="s">
        <v>303</v>
      </c>
      <c r="F47" s="6"/>
    </row>
    <row r="48" spans="2:6" ht="15" customHeight="1" x14ac:dyDescent="0.3">
      <c r="B48" s="69" t="s">
        <v>307</v>
      </c>
      <c r="D48" s="183">
        <f t="shared" si="4"/>
        <v>0</v>
      </c>
      <c r="E48" s="37" t="s">
        <v>303</v>
      </c>
      <c r="F48" s="6"/>
    </row>
    <row r="49" spans="2:6" ht="15" customHeight="1" x14ac:dyDescent="0.3">
      <c r="B49" s="69" t="s">
        <v>308</v>
      </c>
      <c r="D49" s="183">
        <f t="shared" si="4"/>
        <v>4</v>
      </c>
      <c r="E49" s="37" t="s">
        <v>287</v>
      </c>
    </row>
    <row r="50" spans="2:6" ht="15" customHeight="1" x14ac:dyDescent="0.3">
      <c r="B50" s="1" t="s">
        <v>309</v>
      </c>
      <c r="D50" s="186">
        <f>SUM(D51:D56)/(6*4)</f>
        <v>0</v>
      </c>
      <c r="E50" s="64" t="str">
        <f>IF(D50&gt;80%,"Very High",IF(D50&lt;=20%,"Very Low",IF(D50&lt;=40%,"Low",IF(D50&lt;=60%,"Medium","High"))))</f>
        <v>Very Low</v>
      </c>
      <c r="F50" s="6"/>
    </row>
    <row r="51" spans="2:6" ht="15" customHeight="1" x14ac:dyDescent="0.3">
      <c r="B51" s="69" t="s">
        <v>310</v>
      </c>
      <c r="D51" s="183">
        <f t="shared" ref="D51:D56" si="5">IF(E51="Strongly disagree",0,IF(E51="disagree",1,IF(E51="unclear",2,IF(E51="agree",3,4))))</f>
        <v>0</v>
      </c>
      <c r="E51" s="37" t="s">
        <v>303</v>
      </c>
      <c r="F51" s="6"/>
    </row>
    <row r="52" spans="2:6" ht="15" customHeight="1" x14ac:dyDescent="0.3">
      <c r="B52" s="69" t="s">
        <v>311</v>
      </c>
      <c r="D52" s="183">
        <f t="shared" si="5"/>
        <v>0</v>
      </c>
      <c r="E52" s="37" t="s">
        <v>303</v>
      </c>
      <c r="F52" s="6"/>
    </row>
    <row r="53" spans="2:6" ht="15" customHeight="1" x14ac:dyDescent="0.3">
      <c r="B53" s="69" t="s">
        <v>312</v>
      </c>
      <c r="D53" s="183">
        <f t="shared" si="5"/>
        <v>0</v>
      </c>
      <c r="E53" s="37" t="s">
        <v>303</v>
      </c>
      <c r="F53" s="6"/>
    </row>
    <row r="54" spans="2:6" ht="15" customHeight="1" x14ac:dyDescent="0.3">
      <c r="B54" s="69" t="s">
        <v>313</v>
      </c>
      <c r="D54" s="183">
        <f t="shared" si="5"/>
        <v>0</v>
      </c>
      <c r="E54" s="37" t="s">
        <v>303</v>
      </c>
      <c r="F54" s="6"/>
    </row>
    <row r="55" spans="2:6" ht="15" customHeight="1" x14ac:dyDescent="0.3">
      <c r="B55" s="69" t="s">
        <v>314</v>
      </c>
      <c r="D55" s="183">
        <f t="shared" si="5"/>
        <v>0</v>
      </c>
      <c r="E55" s="37" t="s">
        <v>303</v>
      </c>
      <c r="F55" s="6"/>
    </row>
    <row r="56" spans="2:6" ht="15" customHeight="1" x14ac:dyDescent="0.3">
      <c r="B56" s="69" t="s">
        <v>315</v>
      </c>
      <c r="D56" s="183">
        <f t="shared" si="5"/>
        <v>0</v>
      </c>
      <c r="E56" s="37" t="s">
        <v>303</v>
      </c>
    </row>
    <row r="57" spans="2:6" ht="15" customHeight="1" x14ac:dyDescent="0.3">
      <c r="B57" s="1" t="s">
        <v>316</v>
      </c>
      <c r="D57" s="186">
        <f>SUM(D58:D65)/(8*4)</f>
        <v>0.46875</v>
      </c>
      <c r="E57" s="64" t="str">
        <f>IF(D57&gt;80%,"Very High",IF(D57&lt;=20%,"Very Low",IF(D57&lt;=40%,"Low",IF(D57&lt;=60%,"Medium","High"))))</f>
        <v>Medium</v>
      </c>
      <c r="F57" s="6"/>
    </row>
    <row r="58" spans="2:6" ht="15" customHeight="1" x14ac:dyDescent="0.3">
      <c r="B58" s="69" t="s">
        <v>317</v>
      </c>
      <c r="D58" s="183">
        <f t="shared" ref="D58:D65" si="6">IF(E58="Strongly disagree",0,IF(E58="disagree",1,IF(E58="unclear",2,IF(E58="agree",3,4))))</f>
        <v>0</v>
      </c>
      <c r="E58" s="37" t="s">
        <v>303</v>
      </c>
      <c r="F58" s="6"/>
    </row>
    <row r="59" spans="2:6" ht="15" customHeight="1" x14ac:dyDescent="0.3">
      <c r="B59" s="69" t="s">
        <v>318</v>
      </c>
      <c r="D59" s="183">
        <f t="shared" si="6"/>
        <v>1</v>
      </c>
      <c r="E59" s="37" t="s">
        <v>285</v>
      </c>
      <c r="F59" s="6"/>
    </row>
    <row r="60" spans="2:6" ht="15" customHeight="1" x14ac:dyDescent="0.3">
      <c r="B60" s="69" t="s">
        <v>319</v>
      </c>
      <c r="D60" s="183">
        <f t="shared" si="6"/>
        <v>4</v>
      </c>
      <c r="E60" s="37" t="s">
        <v>287</v>
      </c>
      <c r="F60" s="6"/>
    </row>
    <row r="61" spans="2:6" ht="15" customHeight="1" x14ac:dyDescent="0.3">
      <c r="B61" s="69" t="s">
        <v>320</v>
      </c>
      <c r="D61" s="183">
        <f t="shared" si="6"/>
        <v>0</v>
      </c>
      <c r="E61" s="37" t="s">
        <v>303</v>
      </c>
      <c r="F61" s="6"/>
    </row>
    <row r="62" spans="2:6" ht="15" customHeight="1" x14ac:dyDescent="0.3">
      <c r="B62" s="69" t="s">
        <v>321</v>
      </c>
      <c r="D62" s="183">
        <f t="shared" si="6"/>
        <v>0</v>
      </c>
      <c r="E62" s="37" t="s">
        <v>303</v>
      </c>
      <c r="F62" s="6"/>
    </row>
    <row r="63" spans="2:6" ht="15" customHeight="1" x14ac:dyDescent="0.3">
      <c r="B63" s="69" t="s">
        <v>322</v>
      </c>
      <c r="D63" s="183">
        <f t="shared" si="6"/>
        <v>2</v>
      </c>
      <c r="E63" s="37" t="s">
        <v>258</v>
      </c>
      <c r="F63" s="6"/>
    </row>
    <row r="64" spans="2:6" ht="15" customHeight="1" x14ac:dyDescent="0.3">
      <c r="B64" s="69" t="s">
        <v>323</v>
      </c>
      <c r="D64" s="183">
        <f t="shared" si="6"/>
        <v>4</v>
      </c>
      <c r="E64" s="37" t="s">
        <v>287</v>
      </c>
      <c r="F64" s="6"/>
    </row>
    <row r="65" spans="2:8" ht="15" customHeight="1" x14ac:dyDescent="0.3">
      <c r="B65" s="69" t="s">
        <v>324</v>
      </c>
      <c r="D65" s="183">
        <f t="shared" si="6"/>
        <v>4</v>
      </c>
      <c r="E65" s="37" t="s">
        <v>287</v>
      </c>
      <c r="F65" s="6"/>
    </row>
    <row r="66" spans="2:8" ht="15" customHeight="1" x14ac:dyDescent="0.3">
      <c r="B66" s="1" t="s">
        <v>325</v>
      </c>
      <c r="D66" s="186">
        <f>SUM(D67:D72)/(6*4)</f>
        <v>0.58106575963718821</v>
      </c>
      <c r="E66" s="64" t="str">
        <f>IF(D66&gt;80%,"Very High",IF(D66&lt;=20%,"Very Low",IF(D66&lt;=40%,"Low",IF(D66&lt;=60%,"Medium","High"))))</f>
        <v>Medium</v>
      </c>
      <c r="F66" s="6"/>
    </row>
    <row r="67" spans="2:8" ht="15" customHeight="1" x14ac:dyDescent="0.3">
      <c r="B67" s="69" t="s">
        <v>326</v>
      </c>
      <c r="D67" s="183">
        <f t="shared" ref="D67:D70" si="7">IF(E67="Strongly disagree",0,IF(E67="disagree",1,IF(E67="unclear",2,IF(E67="agree",3,4))))</f>
        <v>0</v>
      </c>
      <c r="E67" s="37" t="s">
        <v>303</v>
      </c>
    </row>
    <row r="68" spans="2:8" ht="15" customHeight="1" x14ac:dyDescent="0.3">
      <c r="B68" s="69" t="s">
        <v>327</v>
      </c>
      <c r="D68" s="183">
        <f t="shared" si="7"/>
        <v>4</v>
      </c>
      <c r="E68" s="37" t="s">
        <v>287</v>
      </c>
      <c r="F68" s="6"/>
    </row>
    <row r="69" spans="2:8" ht="15" customHeight="1" x14ac:dyDescent="0.3">
      <c r="B69" s="69" t="s">
        <v>328</v>
      </c>
      <c r="D69" s="183">
        <f t="shared" si="7"/>
        <v>3</v>
      </c>
      <c r="E69" s="37" t="s">
        <v>260</v>
      </c>
      <c r="F69" s="5"/>
    </row>
    <row r="70" spans="2:8" ht="15" customHeight="1" x14ac:dyDescent="0.3">
      <c r="B70" s="69" t="s">
        <v>329</v>
      </c>
      <c r="D70" s="183">
        <f t="shared" si="7"/>
        <v>1</v>
      </c>
      <c r="E70" s="37" t="s">
        <v>285</v>
      </c>
    </row>
    <row r="71" spans="2:8" ht="15" customHeight="1" x14ac:dyDescent="0.3">
      <c r="B71" s="69" t="s">
        <v>330</v>
      </c>
      <c r="D71" s="183">
        <f>IF(E71="Strongly disagree",0,IF(E71="disagree",1,IF(E71="unclear",2,IF(E71="agree",3,4))))</f>
        <v>4</v>
      </c>
      <c r="E71" s="37" t="s">
        <v>287</v>
      </c>
      <c r="F71" s="69"/>
      <c r="G71" s="69"/>
      <c r="H71" s="69"/>
    </row>
    <row r="72" spans="2:8" ht="15" customHeight="1" x14ac:dyDescent="0.3">
      <c r="B72" s="69" t="s">
        <v>331</v>
      </c>
      <c r="D72" s="187">
        <f t="array" ref="D72">(1-INDEX(B88:E97,MATCH(E72,B88:B97,0),4))*4</f>
        <v>1.9455782312925169</v>
      </c>
      <c r="E72" s="37" t="s">
        <v>332</v>
      </c>
      <c r="F72" s="69"/>
      <c r="G72" s="69"/>
      <c r="H72" s="69"/>
    </row>
    <row r="73" spans="2:8" ht="15" customHeight="1" x14ac:dyDescent="0.3">
      <c r="B73" s="1" t="s">
        <v>333</v>
      </c>
      <c r="D73" s="188">
        <f>SUM(D74:D81)/(8*4)</f>
        <v>0.9375</v>
      </c>
      <c r="E73" s="64" t="str">
        <f>IF(D73&gt;80%,"Very High",IF(D73&lt;=20%,"Very Low",IF(D73&lt;=40%,"Low",IF(D73&lt;=60%,"Medium","High"))))</f>
        <v>Very High</v>
      </c>
      <c r="F73" s="69"/>
      <c r="G73" s="69"/>
      <c r="H73" s="69"/>
    </row>
    <row r="74" spans="2:8" ht="15" customHeight="1" x14ac:dyDescent="0.3">
      <c r="B74" s="69" t="s">
        <v>334</v>
      </c>
      <c r="D74" s="183">
        <f t="shared" ref="D74:D80" si="8">IF(E74="Strongly disagree",0,IF(E74="disagree",1,IF(E74="unclear",2,IF(E74="agree",3,4))))</f>
        <v>4</v>
      </c>
      <c r="E74" s="37" t="s">
        <v>287</v>
      </c>
      <c r="F74" s="69"/>
      <c r="G74" s="69"/>
      <c r="H74" s="69"/>
    </row>
    <row r="75" spans="2:8" ht="15" customHeight="1" x14ac:dyDescent="0.3">
      <c r="B75" s="69" t="s">
        <v>335</v>
      </c>
      <c r="D75" s="183">
        <f t="shared" si="8"/>
        <v>4</v>
      </c>
      <c r="E75" s="37" t="s">
        <v>287</v>
      </c>
      <c r="F75" s="69"/>
      <c r="G75" s="69"/>
      <c r="H75" s="69"/>
    </row>
    <row r="76" spans="2:8" ht="15" customHeight="1" x14ac:dyDescent="0.3">
      <c r="B76" s="69" t="s">
        <v>336</v>
      </c>
      <c r="D76" s="183">
        <f t="shared" si="8"/>
        <v>4</v>
      </c>
      <c r="E76" s="37" t="s">
        <v>287</v>
      </c>
      <c r="F76" s="69"/>
      <c r="G76" s="69"/>
      <c r="H76" s="69"/>
    </row>
    <row r="77" spans="2:8" ht="15" customHeight="1" x14ac:dyDescent="0.3">
      <c r="B77" s="69" t="s">
        <v>337</v>
      </c>
      <c r="D77" s="183">
        <f t="shared" si="8"/>
        <v>4</v>
      </c>
      <c r="E77" s="37" t="s">
        <v>287</v>
      </c>
      <c r="F77" s="69"/>
      <c r="G77" s="69"/>
      <c r="H77" s="69"/>
    </row>
    <row r="78" spans="2:8" ht="15" customHeight="1" x14ac:dyDescent="0.3">
      <c r="B78" s="69" t="s">
        <v>338</v>
      </c>
      <c r="D78" s="183">
        <f t="shared" si="8"/>
        <v>3</v>
      </c>
      <c r="E78" s="37" t="s">
        <v>260</v>
      </c>
      <c r="F78" s="69"/>
      <c r="G78" s="69"/>
      <c r="H78" s="69"/>
    </row>
    <row r="79" spans="2:8" ht="15" customHeight="1" x14ac:dyDescent="0.3">
      <c r="B79" s="69" t="s">
        <v>339</v>
      </c>
      <c r="D79" s="183">
        <f t="shared" si="8"/>
        <v>4</v>
      </c>
      <c r="E79" s="37" t="s">
        <v>287</v>
      </c>
      <c r="F79" s="69"/>
      <c r="G79" s="69"/>
      <c r="H79" s="69"/>
    </row>
    <row r="80" spans="2:8" ht="15" customHeight="1" x14ac:dyDescent="0.3">
      <c r="B80" s="69" t="s">
        <v>340</v>
      </c>
      <c r="D80" s="183">
        <f t="shared" si="8"/>
        <v>4</v>
      </c>
      <c r="E80" s="37" t="s">
        <v>287</v>
      </c>
      <c r="F80" s="69"/>
      <c r="G80" s="69"/>
      <c r="H80" s="69"/>
    </row>
    <row r="81" spans="2:8" ht="15" customHeight="1" x14ac:dyDescent="0.3">
      <c r="B81" s="69" t="s">
        <v>341</v>
      </c>
      <c r="D81" s="183">
        <f>IF(E81="Strongly disagree",0,IF(E81="disagree",1,IF(E81="non-perishable",2,IF(E81="agree",3,4))))</f>
        <v>3</v>
      </c>
      <c r="E81" s="37" t="s">
        <v>260</v>
      </c>
      <c r="F81" s="69"/>
      <c r="G81" s="69"/>
      <c r="H81" s="69"/>
    </row>
    <row r="82" spans="2:8" ht="15" customHeight="1" x14ac:dyDescent="0.3">
      <c r="B82" s="254" t="s">
        <v>342</v>
      </c>
      <c r="D82" s="231">
        <f>1-AVERAGE(D43,D50,D57,D66,D73)</f>
        <v>0.51087018140589568</v>
      </c>
      <c r="E82" s="64" t="str">
        <f>IF(D82&gt;80%,"Very Low",IF(D82&lt;=20%,"Very High",IF(D82&lt;=40%,"High",IF(D82&lt;=60%,"Medium","Low"))))</f>
        <v>Medium</v>
      </c>
      <c r="F82" s="69"/>
      <c r="G82" s="69"/>
      <c r="H82" s="69"/>
    </row>
    <row r="83" spans="2:8" ht="15" customHeight="1" x14ac:dyDescent="0.3">
      <c r="D83" s="6"/>
    </row>
    <row r="84" spans="2:8" ht="15" customHeight="1" x14ac:dyDescent="0.3">
      <c r="B84" s="180" t="s">
        <v>343</v>
      </c>
      <c r="D84" s="176">
        <f>E84*4</f>
        <v>2.4608701814058955</v>
      </c>
      <c r="E84" s="230">
        <f>AVERAGE(AVERAGE(D25:D29)/4,AVERAGE(D31:D35)/4,AVERAGE(D37:D41)/4,D82)</f>
        <v>0.61521754535147388</v>
      </c>
    </row>
    <row r="86" spans="2:8" ht="15" customHeight="1" x14ac:dyDescent="0.3">
      <c r="B86" s="70" t="s">
        <v>344</v>
      </c>
      <c r="C86" s="7"/>
      <c r="D86" s="7"/>
      <c r="E86" s="72"/>
    </row>
    <row r="87" spans="2:8" ht="15" customHeight="1" x14ac:dyDescent="0.3">
      <c r="B87" s="189" t="s">
        <v>345</v>
      </c>
      <c r="C87" s="190"/>
      <c r="D87" s="190"/>
      <c r="E87" s="191"/>
    </row>
    <row r="88" spans="2:8" ht="15" customHeight="1" x14ac:dyDescent="0.3">
      <c r="B88" s="192" t="s">
        <v>346</v>
      </c>
      <c r="C88" s="190"/>
      <c r="D88" s="190">
        <v>1</v>
      </c>
      <c r="E88" s="193">
        <f t="shared" ref="E88:E96" si="9">D88/MAX($D$88:$D$97)</f>
        <v>3.4013605442176874E-2</v>
      </c>
    </row>
    <row r="89" spans="2:8" ht="15" customHeight="1" x14ac:dyDescent="0.3">
      <c r="B89" s="192" t="str">
        <f t="shared" ref="B89:B97" si="10">C89&amp;", "&amp;D89&amp;"y"</f>
        <v>Information Technology Like, 6.6y</v>
      </c>
      <c r="C89" s="190" t="s">
        <v>347</v>
      </c>
      <c r="D89" s="190">
        <v>6.6</v>
      </c>
      <c r="E89" s="193">
        <f t="shared" si="9"/>
        <v>0.22448979591836735</v>
      </c>
    </row>
    <row r="90" spans="2:8" ht="15" customHeight="1" x14ac:dyDescent="0.3">
      <c r="B90" s="192" t="str">
        <f t="shared" si="10"/>
        <v>Healthcare, 11.4y</v>
      </c>
      <c r="C90" s="190" t="s">
        <v>348</v>
      </c>
      <c r="D90" s="190">
        <v>11.4</v>
      </c>
      <c r="E90" s="193">
        <f t="shared" si="9"/>
        <v>0.38775510204081637</v>
      </c>
    </row>
    <row r="91" spans="2:8" ht="15" customHeight="1" x14ac:dyDescent="0.3">
      <c r="B91" s="192" t="str">
        <f t="shared" si="10"/>
        <v>Consumer Discretionary, 12.4y</v>
      </c>
      <c r="C91" s="190" t="s">
        <v>349</v>
      </c>
      <c r="D91" s="190">
        <v>12.4</v>
      </c>
      <c r="E91" s="193">
        <f t="shared" si="9"/>
        <v>0.42176870748299322</v>
      </c>
    </row>
    <row r="92" spans="2:8" ht="15" customHeight="1" x14ac:dyDescent="0.3">
      <c r="B92" s="192" t="str">
        <f t="shared" si="10"/>
        <v>Consumer Staples, 15.1y</v>
      </c>
      <c r="C92" s="190" t="s">
        <v>350</v>
      </c>
      <c r="D92" s="190">
        <v>15.1</v>
      </c>
      <c r="E92" s="193">
        <f t="shared" si="9"/>
        <v>0.51360544217687076</v>
      </c>
    </row>
    <row r="93" spans="2:8" ht="15" customHeight="1" x14ac:dyDescent="0.3">
      <c r="B93" s="192" t="str">
        <f t="shared" si="10"/>
        <v>Industrials, 15.4y</v>
      </c>
      <c r="C93" s="190" t="s">
        <v>351</v>
      </c>
      <c r="D93" s="190">
        <v>15.4</v>
      </c>
      <c r="E93" s="193">
        <f t="shared" si="9"/>
        <v>0.52380952380952384</v>
      </c>
    </row>
    <row r="94" spans="2:8" ht="15" customHeight="1" x14ac:dyDescent="0.3">
      <c r="B94" s="192" t="str">
        <f t="shared" si="10"/>
        <v>Telecommunication Services, 16.1y</v>
      </c>
      <c r="C94" s="190" t="s">
        <v>352</v>
      </c>
      <c r="D94" s="190">
        <v>16.100000000000001</v>
      </c>
      <c r="E94" s="193">
        <f t="shared" si="9"/>
        <v>0.54761904761904767</v>
      </c>
    </row>
    <row r="95" spans="2:8" ht="15" customHeight="1" x14ac:dyDescent="0.3">
      <c r="B95" s="192" t="str">
        <f t="shared" si="10"/>
        <v>Energy, 17.6y</v>
      </c>
      <c r="C95" s="190" t="s">
        <v>353</v>
      </c>
      <c r="D95" s="190">
        <v>17.600000000000001</v>
      </c>
      <c r="E95" s="193">
        <f t="shared" si="9"/>
        <v>0.59863945578231303</v>
      </c>
    </row>
    <row r="96" spans="2:8" ht="15" customHeight="1" x14ac:dyDescent="0.3">
      <c r="B96" s="192" t="str">
        <f t="shared" si="10"/>
        <v>Materials, 18.6y</v>
      </c>
      <c r="C96" s="190" t="s">
        <v>354</v>
      </c>
      <c r="D96" s="190">
        <v>18.600000000000001</v>
      </c>
      <c r="E96" s="193">
        <f t="shared" si="9"/>
        <v>0.63265306122448983</v>
      </c>
    </row>
    <row r="97" spans="2:5" ht="15" customHeight="1" x14ac:dyDescent="0.3">
      <c r="B97" s="194" t="str">
        <f t="shared" si="10"/>
        <v>Utilities, 29.4y</v>
      </c>
      <c r="C97" s="195" t="s">
        <v>355</v>
      </c>
      <c r="D97" s="195">
        <v>29.4</v>
      </c>
      <c r="E97" s="196">
        <f>D97/MAX($D$89:$D$97)</f>
        <v>1</v>
      </c>
    </row>
  </sheetData>
  <dataConsolidate/>
  <dataValidations count="9">
    <dataValidation type="list" allowBlank="1" sqref="E43 E50 E57 E66 E73" xr:uid="{00000000-0002-0000-0400-000003000000}">
      <formula1>"Very High,High,Medium,Low,Very Low"</formula1>
    </dataValidation>
    <dataValidation type="list" allowBlank="1" sqref="E4:E7 E32:E35 E37:E41 E51:E56 E58:E65 E26:E29 E10 E74:E80 E44:E49 E67:E71" xr:uid="{00000000-0002-0000-0400-000005000000}">
      <formula1>"Strongly agree,agree,unclear,disagree,Strongly disagree"</formula1>
    </dataValidation>
    <dataValidation type="list" allowBlank="1" sqref="E81" xr:uid="{00000000-0002-0000-0400-000009000000}">
      <formula1>"Strongly agree,agree,non-perishable,disagree,Strongly disagree"</formula1>
    </dataValidation>
    <dataValidation allowBlank="1" sqref="E25 E11:E12" xr:uid="{FBCCA791-86B6-4660-95B3-845402529B68}"/>
    <dataValidation type="list" allowBlank="1" showInputMessage="1" showErrorMessage="1" sqref="E72" xr:uid="{B3C242EB-7F6A-4B7F-83D0-5CE118336997}">
      <formula1>B88:B97</formula1>
    </dataValidation>
    <dataValidation type="list" allowBlank="1" sqref="E17" xr:uid="{00879E06-D1C6-4C7D-A498-33F03425939D}">
      <formula1>"(+) Healthy/Increasing CFO, (-) Low/Decreasing CFO"</formula1>
    </dataValidation>
    <dataValidation type="list" allowBlank="1" sqref="E18" xr:uid="{9ED192E6-28C4-4D51-A598-11CB45566EF9}">
      <formula1>"(+) High/Increasing CFI, (-) Low/Decreasing CFI"</formula1>
    </dataValidation>
    <dataValidation type="list" allowBlank="1" sqref="E19" xr:uid="{75670AFC-9391-474D-B260-21AA7EF2CDC8}">
      <formula1>"(+) High/Increasing CFF, (-) Low/Decreasing CFF"</formula1>
    </dataValidation>
    <dataValidation type="list" allowBlank="1" sqref="E72" xr:uid="{169E40E7-6BB6-45A2-B725-216376F63A8D}">
      <formula1>$B$88:$B$97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2023-02-16T01:35:53Z</dcterms:modified>
  <cp:category/>
  <cp:contentStatus/>
</cp:coreProperties>
</file>