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https://d.docs.live.net/0b10873df2abd437/Valuation - Template/"/>
    </mc:Choice>
  </mc:AlternateContent>
  <xr:revisionPtr revIDLastSave="55" documentId="13_ncr:1_{FFBE7900-47CB-3047-8889-ACCD208FED4D}" xr6:coauthVersionLast="47" xr6:coauthVersionMax="47" xr10:uidLastSave="{E6DB2CFE-1990-6A4A-A329-EA7C9691E277}"/>
  <bookViews>
    <workbookView xWindow="0" yWindow="0" windowWidth="28800" windowHeight="18000" xr2:uid="{00000000-000D-0000-FFFF-FFFF00000000}"/>
  </bookViews>
  <sheets>
    <sheet name="Dashboard" sheetId="1" r:id="rId1"/>
    <sheet name="Data" sheetId="2" r:id="rId2"/>
    <sheet name="Asset Model" sheetId="3" r:id="rId3"/>
    <sheet name="FCF Model" sheetId="4" r:id="rId4"/>
    <sheet name="Qualitative Analysis" sheetId="5" r:id="rId5"/>
  </sheets>
  <definedNames>
    <definedName name="Common_Shares">Dashboard!$I$5</definedName>
    <definedName name="Exchange_Rate">Dashboard!$I$12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41" i="4" l="1"/>
  <c r="C64" i="4"/>
  <c r="E13" i="5"/>
  <c r="D7" i="1" l="1"/>
  <c r="C7" i="1"/>
  <c r="E10" i="4" l="1"/>
  <c r="C14" i="2"/>
  <c r="D13" i="4"/>
  <c r="D8" i="4"/>
  <c r="D27" i="2"/>
  <c r="E27" i="2"/>
  <c r="F27" i="2"/>
  <c r="G27" i="2"/>
  <c r="H27" i="2"/>
  <c r="I27" i="2"/>
  <c r="J27" i="2"/>
  <c r="K27" i="2"/>
  <c r="L27" i="2"/>
  <c r="M27" i="2"/>
  <c r="H13" i="3"/>
  <c r="C23" i="3"/>
  <c r="C13" i="3"/>
  <c r="C10" i="3"/>
  <c r="E10" i="3" s="1"/>
  <c r="M6" i="2"/>
  <c r="L6" i="2"/>
  <c r="K6" i="2"/>
  <c r="J6" i="2"/>
  <c r="I6" i="2"/>
  <c r="H6" i="2"/>
  <c r="G6" i="2"/>
  <c r="F6" i="2"/>
  <c r="E6" i="2"/>
  <c r="D6" i="2"/>
  <c r="C6" i="2"/>
  <c r="C23" i="2"/>
  <c r="C25" i="2"/>
  <c r="C26" i="2"/>
  <c r="C24" i="2"/>
  <c r="G23" i="4"/>
  <c r="G17" i="1"/>
  <c r="B68" i="4"/>
  <c r="G18" i="1"/>
  <c r="J18" i="1"/>
  <c r="B16" i="1"/>
  <c r="J16" i="1" s="1"/>
  <c r="D36" i="5"/>
  <c r="D37" i="5"/>
  <c r="D38" i="5"/>
  <c r="D39" i="5"/>
  <c r="D40" i="5"/>
  <c r="G64" i="4"/>
  <c r="E4" i="4"/>
  <c r="J12" i="1"/>
  <c r="E5" i="1"/>
  <c r="D52" i="3"/>
  <c r="E4" i="2"/>
  <c r="E8" i="4"/>
  <c r="E9" i="4" s="1"/>
  <c r="E11" i="4" s="1"/>
  <c r="G34" i="2"/>
  <c r="G35" i="2" s="1"/>
  <c r="H34" i="2"/>
  <c r="I34" i="2"/>
  <c r="J34" i="2"/>
  <c r="K34" i="2"/>
  <c r="L34" i="2"/>
  <c r="M34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E33" i="2"/>
  <c r="D33" i="2"/>
  <c r="C33" i="2"/>
  <c r="H35" i="2"/>
  <c r="I35" i="2"/>
  <c r="J35" i="2"/>
  <c r="K35" i="2"/>
  <c r="L35" i="2"/>
  <c r="M35" i="2"/>
  <c r="C8" i="2"/>
  <c r="C10" i="2"/>
  <c r="F6" i="4"/>
  <c r="E6" i="4"/>
  <c r="F23" i="4"/>
  <c r="F20" i="4"/>
  <c r="F17" i="4"/>
  <c r="D37" i="4"/>
  <c r="D36" i="4"/>
  <c r="C54" i="4"/>
  <c r="M15" i="2"/>
  <c r="J3" i="2" a="1"/>
  <c r="J3" i="2" s="1"/>
  <c r="C31" i="2"/>
  <c r="M36" i="2"/>
  <c r="D10" i="5"/>
  <c r="D5" i="5"/>
  <c r="D6" i="5"/>
  <c r="D4" i="5"/>
  <c r="D3" i="4"/>
  <c r="C27" i="2" l="1"/>
  <c r="E13" i="4"/>
  <c r="B66" i="4"/>
  <c r="C34" i="2"/>
  <c r="C32" i="2"/>
  <c r="D34" i="2"/>
  <c r="D32" i="2"/>
  <c r="E34" i="2"/>
  <c r="E32" i="2"/>
  <c r="F34" i="2"/>
  <c r="F32" i="2"/>
  <c r="C13" i="2"/>
  <c r="C12" i="2" s="1"/>
  <c r="C16" i="2"/>
  <c r="D7" i="5"/>
  <c r="E7" i="5" s="1"/>
  <c r="E91" i="5"/>
  <c r="B91" i="5"/>
  <c r="E90" i="5"/>
  <c r="B90" i="5"/>
  <c r="E89" i="5"/>
  <c r="B89" i="5"/>
  <c r="E88" i="5"/>
  <c r="B88" i="5"/>
  <c r="E87" i="5"/>
  <c r="B87" i="5"/>
  <c r="E86" i="5"/>
  <c r="B86" i="5"/>
  <c r="E85" i="5"/>
  <c r="B85" i="5"/>
  <c r="E84" i="5"/>
  <c r="B84" i="5"/>
  <c r="E83" i="5"/>
  <c r="B83" i="5"/>
  <c r="E82" i="5"/>
  <c r="D75" i="5"/>
  <c r="D74" i="5"/>
  <c r="D73" i="5"/>
  <c r="D72" i="5"/>
  <c r="D71" i="5"/>
  <c r="D70" i="5"/>
  <c r="D69" i="5"/>
  <c r="D68" i="5"/>
  <c r="D67" i="5"/>
  <c r="D64" i="5"/>
  <c r="D63" i="5"/>
  <c r="D62" i="5"/>
  <c r="D61" i="5"/>
  <c r="D59" i="5"/>
  <c r="D58" i="5"/>
  <c r="D57" i="5"/>
  <c r="D56" i="5"/>
  <c r="D55" i="5"/>
  <c r="D54" i="5"/>
  <c r="D53" i="5"/>
  <c r="D52" i="5"/>
  <c r="D50" i="5"/>
  <c r="D49" i="5"/>
  <c r="D48" i="5"/>
  <c r="D47" i="5"/>
  <c r="D46" i="5"/>
  <c r="D45" i="5"/>
  <c r="D43" i="5"/>
  <c r="D42" i="5"/>
  <c r="D41" i="5"/>
  <c r="D33" i="5"/>
  <c r="D32" i="5"/>
  <c r="D31" i="5"/>
  <c r="D30" i="5"/>
  <c r="D29" i="5"/>
  <c r="D27" i="5"/>
  <c r="D26" i="5"/>
  <c r="D25" i="5"/>
  <c r="D24" i="5"/>
  <c r="D21" i="5"/>
  <c r="D20" i="5"/>
  <c r="D19" i="5"/>
  <c r="D18" i="5"/>
  <c r="D45" i="4"/>
  <c r="D60" i="4" s="1"/>
  <c r="D44" i="4"/>
  <c r="G17" i="4"/>
  <c r="E17" i="4"/>
  <c r="C8" i="4"/>
  <c r="B6" i="4"/>
  <c r="C30" i="2"/>
  <c r="C33" i="4" s="1"/>
  <c r="H35" i="3"/>
  <c r="C35" i="3"/>
  <c r="E33" i="3"/>
  <c r="E31" i="3"/>
  <c r="E30" i="3"/>
  <c r="E29" i="3"/>
  <c r="E28" i="3"/>
  <c r="E27" i="3"/>
  <c r="E26" i="3"/>
  <c r="E25" i="3"/>
  <c r="E24" i="3"/>
  <c r="E23" i="3"/>
  <c r="H21" i="3"/>
  <c r="C21" i="3"/>
  <c r="C19" i="3"/>
  <c r="C37" i="3" s="1"/>
  <c r="C38" i="3" s="1"/>
  <c r="E17" i="3"/>
  <c r="E16" i="3"/>
  <c r="E15" i="3"/>
  <c r="E14" i="3"/>
  <c r="E13" i="3"/>
  <c r="E12" i="3"/>
  <c r="E11" i="3"/>
  <c r="B57" i="2"/>
  <c r="D56" i="2"/>
  <c r="E56" i="2" s="1"/>
  <c r="M47" i="2"/>
  <c r="L47" i="2"/>
  <c r="K47" i="2"/>
  <c r="J47" i="2"/>
  <c r="I47" i="2"/>
  <c r="G47" i="2"/>
  <c r="M17" i="2"/>
  <c r="M39" i="2"/>
  <c r="H47" i="2"/>
  <c r="M48" i="2"/>
  <c r="C29" i="2"/>
  <c r="L36" i="2"/>
  <c r="J36" i="2"/>
  <c r="I36" i="2"/>
  <c r="H36" i="2"/>
  <c r="G36" i="2"/>
  <c r="F36" i="2"/>
  <c r="E36" i="2"/>
  <c r="D36" i="2"/>
  <c r="D48" i="3"/>
  <c r="C34" i="4" s="1"/>
  <c r="M20" i="2"/>
  <c r="L20" i="2"/>
  <c r="K20" i="2"/>
  <c r="J20" i="2"/>
  <c r="I20" i="2"/>
  <c r="H20" i="2"/>
  <c r="G20" i="2"/>
  <c r="F20" i="2"/>
  <c r="E20" i="2"/>
  <c r="D20" i="2"/>
  <c r="C20" i="2"/>
  <c r="M14" i="2"/>
  <c r="K14" i="2"/>
  <c r="K16" i="2" s="1"/>
  <c r="M13" i="2"/>
  <c r="M12" i="2"/>
  <c r="C13" i="4"/>
  <c r="M10" i="2"/>
  <c r="L10" i="2"/>
  <c r="K10" i="2"/>
  <c r="H10" i="2"/>
  <c r="G10" i="2"/>
  <c r="D10" i="2"/>
  <c r="L14" i="2"/>
  <c r="J14" i="2"/>
  <c r="J16" i="2" s="1"/>
  <c r="I10" i="2"/>
  <c r="H14" i="2"/>
  <c r="H16" i="2" s="1"/>
  <c r="G14" i="2"/>
  <c r="G16" i="2" s="1"/>
  <c r="F14" i="2"/>
  <c r="E10" i="2"/>
  <c r="C9" i="4"/>
  <c r="L8" i="2"/>
  <c r="K8" i="2"/>
  <c r="J8" i="2"/>
  <c r="I8" i="2"/>
  <c r="H8" i="2"/>
  <c r="G8" i="2"/>
  <c r="F8" i="2"/>
  <c r="E8" i="2"/>
  <c r="D8" i="2"/>
  <c r="C7" i="4"/>
  <c r="H4" i="2"/>
  <c r="F3" i="2" a="1"/>
  <c r="F3" i="2" s="1"/>
  <c r="C18" i="1" s="1"/>
  <c r="H3" i="2"/>
  <c r="G31" i="1"/>
  <c r="G27" i="1" s="1"/>
  <c r="E31" i="1"/>
  <c r="E27" i="1" s="1"/>
  <c r="C31" i="1"/>
  <c r="E32" i="1" s="1"/>
  <c r="E33" i="1" s="1"/>
  <c r="G30" i="1"/>
  <c r="E30" i="1"/>
  <c r="C30" i="1"/>
  <c r="I28" i="1"/>
  <c r="G19" i="4"/>
  <c r="D23" i="4"/>
  <c r="I6" i="1"/>
  <c r="G39" i="2" s="1"/>
  <c r="C2" i="1"/>
  <c r="F51" i="3" l="1"/>
  <c r="C35" i="2"/>
  <c r="C39" i="3"/>
  <c r="D51" i="3"/>
  <c r="C32" i="4" s="1"/>
  <c r="D65" i="5" a="1"/>
  <c r="D65" i="5" s="1"/>
  <c r="D60" i="5" s="1"/>
  <c r="E60" i="5" s="1"/>
  <c r="D35" i="5"/>
  <c r="E35" i="5" s="1"/>
  <c r="F16" i="2"/>
  <c r="F35" i="2" s="1"/>
  <c r="J4" i="2" a="1"/>
  <c r="J4" i="2" s="1"/>
  <c r="K15" i="2"/>
  <c r="L16" i="2"/>
  <c r="L15" i="2"/>
  <c r="M16" i="2"/>
  <c r="M38" i="2" s="1"/>
  <c r="C74" i="2"/>
  <c r="C38" i="2"/>
  <c r="C17" i="2"/>
  <c r="D66" i="5"/>
  <c r="E66" i="5" s="1"/>
  <c r="E17" i="5"/>
  <c r="I9" i="1"/>
  <c r="G20" i="4"/>
  <c r="F28" i="4"/>
  <c r="K36" i="2"/>
  <c r="K45" i="2" s="1"/>
  <c r="L46" i="2"/>
  <c r="F15" i="2"/>
  <c r="G15" i="2"/>
  <c r="C71" i="2"/>
  <c r="J15" i="2"/>
  <c r="C27" i="1"/>
  <c r="I27" i="1" s="1"/>
  <c r="H39" i="3"/>
  <c r="C22" i="2"/>
  <c r="I31" i="1"/>
  <c r="I32" i="1" s="1"/>
  <c r="I33" i="1" s="1"/>
  <c r="E19" i="3"/>
  <c r="D19" i="3" s="1"/>
  <c r="C21" i="2"/>
  <c r="E35" i="3"/>
  <c r="D35" i="3" s="1"/>
  <c r="G13" i="2"/>
  <c r="G12" i="2" s="1"/>
  <c r="F13" i="2"/>
  <c r="F47" i="2"/>
  <c r="C75" i="2"/>
  <c r="J13" i="2"/>
  <c r="I45" i="2"/>
  <c r="I44" i="2"/>
  <c r="I48" i="2"/>
  <c r="H48" i="2"/>
  <c r="H44" i="2"/>
  <c r="H46" i="2"/>
  <c r="H45" i="2"/>
  <c r="E45" i="2"/>
  <c r="E44" i="2"/>
  <c r="E48" i="2"/>
  <c r="E39" i="2"/>
  <c r="L39" i="2"/>
  <c r="G44" i="2"/>
  <c r="G46" i="2"/>
  <c r="G48" i="2"/>
  <c r="D14" i="2"/>
  <c r="D16" i="2" s="1"/>
  <c r="D35" i="2" s="1"/>
  <c r="H13" i="2"/>
  <c r="H12" i="2" s="1"/>
  <c r="L13" i="2"/>
  <c r="L12" i="2" s="1"/>
  <c r="F10" i="2"/>
  <c r="J10" i="2"/>
  <c r="J12" i="2" s="1"/>
  <c r="M44" i="2"/>
  <c r="L45" i="2"/>
  <c r="D57" i="2"/>
  <c r="E57" i="2" s="1"/>
  <c r="F57" i="2"/>
  <c r="J39" i="2"/>
  <c r="F39" i="2"/>
  <c r="I39" i="2"/>
  <c r="D39" i="2"/>
  <c r="H39" i="2"/>
  <c r="C39" i="2"/>
  <c r="B56" i="2"/>
  <c r="C6" i="4"/>
  <c r="M45" i="2"/>
  <c r="M46" i="2"/>
  <c r="G45" i="2"/>
  <c r="E23" i="4"/>
  <c r="F24" i="4" s="1"/>
  <c r="E14" i="2"/>
  <c r="E16" i="2" s="1"/>
  <c r="E35" i="2" s="1"/>
  <c r="I14" i="2"/>
  <c r="I16" i="2" s="1"/>
  <c r="C10" i="4"/>
  <c r="F4" i="2"/>
  <c r="C14" i="4"/>
  <c r="K13" i="2"/>
  <c r="K12" i="2" s="1"/>
  <c r="F46" i="2"/>
  <c r="F48" i="2"/>
  <c r="D48" i="2"/>
  <c r="D44" i="2"/>
  <c r="D45" i="2"/>
  <c r="L48" i="2"/>
  <c r="L44" i="2"/>
  <c r="K39" i="2"/>
  <c r="F44" i="2"/>
  <c r="F45" i="2"/>
  <c r="B58" i="2"/>
  <c r="C11" i="4"/>
  <c r="D7" i="4"/>
  <c r="D12" i="4"/>
  <c r="D51" i="5"/>
  <c r="E51" i="5" s="1"/>
  <c r="C73" i="2"/>
  <c r="E21" i="3"/>
  <c r="C20" i="3"/>
  <c r="D9" i="4"/>
  <c r="D11" i="4" s="1"/>
  <c r="D16" i="4" s="1"/>
  <c r="D24" i="4" s="1"/>
  <c r="D44" i="5"/>
  <c r="K48" i="2" l="1"/>
  <c r="K44" i="2"/>
  <c r="D3" i="3"/>
  <c r="C28" i="2" s="1"/>
  <c r="D18" i="1" s="1"/>
  <c r="J9" i="1"/>
  <c r="C16" i="1"/>
  <c r="E12" i="5"/>
  <c r="D12" i="5" s="1"/>
  <c r="D17" i="5"/>
  <c r="E20" i="3"/>
  <c r="H20" i="3" s="1"/>
  <c r="K46" i="2"/>
  <c r="I46" i="2"/>
  <c r="H15" i="2"/>
  <c r="I15" i="2"/>
  <c r="E46" i="2"/>
  <c r="D15" i="2"/>
  <c r="E15" i="2"/>
  <c r="D46" i="2"/>
  <c r="C15" i="2"/>
  <c r="C15" i="4" s="1"/>
  <c r="C4" i="4"/>
  <c r="D14" i="4"/>
  <c r="E37" i="3"/>
  <c r="D37" i="3" s="1"/>
  <c r="F12" i="2"/>
  <c r="H19" i="3"/>
  <c r="J46" i="2"/>
  <c r="J45" i="2"/>
  <c r="J44" i="2"/>
  <c r="J48" i="2"/>
  <c r="E24" i="4"/>
  <c r="H17" i="2"/>
  <c r="H38" i="2"/>
  <c r="F17" i="2"/>
  <c r="F38" i="2"/>
  <c r="D58" i="2"/>
  <c r="E58" i="2" s="1"/>
  <c r="B59" i="2"/>
  <c r="F58" i="2"/>
  <c r="E13" i="2"/>
  <c r="E12" i="2" s="1"/>
  <c r="E39" i="3"/>
  <c r="D21" i="3"/>
  <c r="D18" i="4"/>
  <c r="E44" i="5"/>
  <c r="D76" i="5"/>
  <c r="E76" i="5" s="1"/>
  <c r="K17" i="2"/>
  <c r="K38" i="2"/>
  <c r="C72" i="2"/>
  <c r="C12" i="4"/>
  <c r="D13" i="2"/>
  <c r="D12" i="2" s="1"/>
  <c r="J38" i="2"/>
  <c r="J17" i="2"/>
  <c r="G17" i="2"/>
  <c r="G38" i="2"/>
  <c r="C47" i="2"/>
  <c r="I13" i="2"/>
  <c r="I12" i="2" s="1"/>
  <c r="L17" i="2"/>
  <c r="L38" i="2"/>
  <c r="I10" i="1" l="1"/>
  <c r="D16" i="1" s="1"/>
  <c r="C36" i="2"/>
  <c r="C76" i="2" s="1"/>
  <c r="D20" i="3"/>
  <c r="G24" i="4"/>
  <c r="E38" i="3"/>
  <c r="H38" i="3" s="1"/>
  <c r="I19" i="3"/>
  <c r="H37" i="3"/>
  <c r="E23" i="5" s="1"/>
  <c r="E16" i="4"/>
  <c r="D59" i="2"/>
  <c r="E59" i="2" s="1"/>
  <c r="B60" i="2"/>
  <c r="F59" i="2"/>
  <c r="E38" i="2"/>
  <c r="E47" i="2"/>
  <c r="E17" i="2"/>
  <c r="D74" i="2"/>
  <c r="C18" i="4"/>
  <c r="I38" i="2"/>
  <c r="I17" i="2"/>
  <c r="D47" i="2"/>
  <c r="D17" i="2"/>
  <c r="D38" i="2"/>
  <c r="D39" i="3"/>
  <c r="C46" i="2" l="1"/>
  <c r="C45" i="2"/>
  <c r="C44" i="2"/>
  <c r="E43" i="3"/>
  <c r="D53" i="3" s="1"/>
  <c r="C48" i="2"/>
  <c r="D38" i="3"/>
  <c r="E14" i="4"/>
  <c r="E15" i="4"/>
  <c r="C31" i="4" s="1"/>
  <c r="F16" i="4"/>
  <c r="F18" i="4" s="1"/>
  <c r="F22" i="4" s="1"/>
  <c r="F25" i="4" s="1"/>
  <c r="E18" i="4"/>
  <c r="E21" i="4" s="1"/>
  <c r="I37" i="3"/>
  <c r="D23" i="5"/>
  <c r="E78" i="5" s="1"/>
  <c r="D60" i="2"/>
  <c r="E60" i="2" s="1"/>
  <c r="F60" i="2"/>
  <c r="B61" i="2"/>
  <c r="D5" i="3" l="1"/>
  <c r="D6" i="3" s="1"/>
  <c r="D14" i="1" s="1"/>
  <c r="E16" i="1" s="1"/>
  <c r="C35" i="4"/>
  <c r="F35" i="4" s="1"/>
  <c r="C66" i="4" s="1"/>
  <c r="D43" i="3"/>
  <c r="E22" i="4"/>
  <c r="D78" i="5"/>
  <c r="E11" i="5" s="1"/>
  <c r="D11" i="5" s="1"/>
  <c r="D61" i="2"/>
  <c r="E61" i="2" s="1"/>
  <c r="F61" i="2"/>
  <c r="B62" i="2"/>
  <c r="D68" i="4" l="1"/>
  <c r="D66" i="4"/>
  <c r="E18" i="1"/>
  <c r="F18" i="1" s="1"/>
  <c r="H18" i="1" s="1"/>
  <c r="I18" i="1" s="1"/>
  <c r="E5" i="3"/>
  <c r="F16" i="1"/>
  <c r="H16" i="1" s="1"/>
  <c r="D62" i="2"/>
  <c r="E62" i="2" s="1"/>
  <c r="B63" i="2"/>
  <c r="F62" i="2"/>
  <c r="D63" i="2" l="1"/>
  <c r="E63" i="2" s="1"/>
  <c r="B64" i="2"/>
  <c r="F63" i="2"/>
  <c r="H6" i="3"/>
  <c r="H5" i="3"/>
  <c r="D64" i="2" l="1"/>
  <c r="E64" i="2" s="1"/>
  <c r="B65" i="2"/>
  <c r="F64" i="2"/>
  <c r="D65" i="2" l="1"/>
  <c r="E65" i="2" s="1"/>
  <c r="F65" i="2"/>
  <c r="B66" i="2"/>
  <c r="D66" i="2" l="1"/>
  <c r="E66" i="2" s="1"/>
  <c r="E67" i="2" s="1"/>
  <c r="F66" i="2"/>
  <c r="F68" i="2" s="1"/>
  <c r="D75" i="2" l="1"/>
  <c r="D71" i="2"/>
  <c r="D73" i="2"/>
  <c r="C21" i="4" s="1"/>
  <c r="D76" i="2"/>
  <c r="C20" i="4" l="1"/>
  <c r="D21" i="4"/>
  <c r="D72" i="2"/>
  <c r="C16" i="4"/>
  <c r="D15" i="4" s="1"/>
  <c r="D22" i="4" l="1"/>
  <c r="D20" i="4"/>
  <c r="J10" i="1"/>
  <c r="G15" i="4"/>
  <c r="C28" i="4" s="1"/>
  <c r="D64" i="4" l="1"/>
  <c r="D25" i="4"/>
  <c r="C29" i="4"/>
  <c r="G16" i="4"/>
  <c r="C40" i="4" s="1"/>
  <c r="E25" i="4"/>
  <c r="C43" i="4" l="1"/>
  <c r="F53" i="4" s="1"/>
  <c r="C30" i="4"/>
  <c r="G18" i="4"/>
  <c r="D4" i="4"/>
  <c r="F51" i="4" l="1"/>
  <c r="G51" i="4" s="1"/>
  <c r="F54" i="4"/>
  <c r="E57" i="4" s="1"/>
  <c r="F49" i="4"/>
  <c r="G49" i="4" s="1"/>
  <c r="F50" i="4"/>
  <c r="G50" i="4" s="1"/>
  <c r="F52" i="4"/>
  <c r="G52" i="4" s="1"/>
  <c r="C36" i="4"/>
  <c r="C37" i="4" s="1"/>
  <c r="C57" i="4" s="1"/>
  <c r="G53" i="4"/>
  <c r="G22" i="4"/>
  <c r="C41" i="4" s="1"/>
  <c r="C60" i="4" l="1"/>
  <c r="I64" i="4" s="1"/>
  <c r="G54" i="4"/>
  <c r="C42" i="4"/>
  <c r="C44" i="4" s="1"/>
  <c r="D57" i="4"/>
  <c r="E56" i="4" s="1"/>
  <c r="B17" i="1" l="1"/>
  <c r="E17" i="1" s="1"/>
  <c r="F17" i="1" s="1"/>
  <c r="H17" i="1" s="1"/>
  <c r="I17" i="1" s="1"/>
  <c r="E64" i="4"/>
  <c r="F64" i="4"/>
  <c r="C45" i="4"/>
  <c r="D49" i="4"/>
  <c r="D50" i="4" s="1"/>
  <c r="D51" i="4" s="1"/>
  <c r="D52" i="4" s="1"/>
  <c r="D53" i="4" s="1"/>
  <c r="E48" i="4"/>
  <c r="E60" i="4"/>
  <c r="C17" i="1" s="1"/>
  <c r="F60" i="4"/>
  <c r="D17" i="1" s="1"/>
  <c r="B67" i="4" l="1"/>
  <c r="D67" i="4" s="1"/>
  <c r="J17" i="1"/>
  <c r="G60" i="4"/>
  <c r="G16" i="1" s="1"/>
  <c r="I16" i="1" s="1"/>
  <c r="E65" i="4"/>
  <c r="C52" i="4"/>
  <c r="C49" i="4"/>
  <c r="C53" i="4" l="1"/>
  <c r="C50" i="4"/>
  <c r="C5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<sst xmlns="http://schemas.openxmlformats.org/spreadsheetml/2006/main" count="419" uniqueCount="349">
  <si>
    <t>Company Info:</t>
  </si>
  <si>
    <t>Ticker:</t>
  </si>
  <si>
    <t>Listing Location:</t>
  </si>
  <si>
    <t>Ticker Name:</t>
  </si>
  <si>
    <t>Current Price:</t>
  </si>
  <si>
    <t>HKD</t>
  </si>
  <si>
    <t>Valuation Date:</t>
  </si>
  <si>
    <t>Number of Shares:</t>
  </si>
  <si>
    <t>Next Earnings Date:</t>
  </si>
  <si>
    <t>Capitalization:</t>
  </si>
  <si>
    <t>Discount Rate Assumptions</t>
  </si>
  <si>
    <t>Current Price Metrics</t>
  </si>
  <si>
    <t>Nominal Default-free Rate</t>
  </si>
  <si>
    <t>P/E Ratio &amp; Earnings Yield:</t>
  </si>
  <si>
    <t>P/B &amp; EV/EBIT Ratios:</t>
  </si>
  <si>
    <t>Reporting Currency:</t>
  </si>
  <si>
    <t>Discount rate =</t>
  </si>
  <si>
    <t>CN</t>
  </si>
  <si>
    <t>Exchange Rate:</t>
  </si>
  <si>
    <t>agree</t>
  </si>
  <si>
    <t>Valuation Output:</t>
  </si>
  <si>
    <t>Realizable VPS =</t>
  </si>
  <si>
    <t>PE</t>
  </si>
  <si>
    <t>PB</t>
  </si>
  <si>
    <t>Discrepancy</t>
  </si>
  <si>
    <t>Margin of Safty</t>
  </si>
  <si>
    <t>IRR</t>
  </si>
  <si>
    <t>MOS Premium</t>
  </si>
  <si>
    <t>Excess Return</t>
  </si>
  <si>
    <t>Dividend Yield: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</si>
  <si>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</si>
  <si>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</si>
  <si>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</si>
  <si>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</si>
  <si>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</si>
  <si>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</si>
  <si>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</si>
  <si>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</si>
  <si>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</si>
  <si>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</si>
  <si>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</si>
  <si>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</si>
  <si>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</si>
  <si>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</si>
  <si>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</si>
  <si>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</si>
  <si>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</si>
  <si>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</si>
  <si>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</si>
  <si>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</si>
  <si>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</si>
  <si>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</si>
  <si>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</si>
  <si>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</si>
  <si>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</si>
  <si>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</si>
  <si>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</si>
  <si>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</si>
  <si>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Interest Expense</t>
  </si>
  <si>
    <t>owner's NI</t>
  </si>
  <si>
    <t>Net Profit Margin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</si>
  <si>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</si>
  <si>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</si>
  <si>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</si>
  <si>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</si>
  <si>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</si>
  <si>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</si>
  <si>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</si>
  <si>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</si>
  <si>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Minority interests</t>
  </si>
  <si>
    <t>Cash &amp; Cash Equivalents</t>
  </si>
  <si>
    <t>Net PP&amp;E</t>
  </si>
  <si>
    <t>Δ PP&amp;E/PP&amp;E</t>
  </si>
  <si>
    <t>Estimated WCInv</t>
  </si>
  <si>
    <t>Δ Net PP&amp;E + WCInv</t>
  </si>
  <si>
    <t>Reinvestment/NOPAT</t>
  </si>
  <si>
    <t>Capital Employed</t>
  </si>
  <si>
    <t>Price Yield</t>
  </si>
  <si>
    <t>NOPAT Yield</t>
  </si>
  <si>
    <t>Earnings Yield</t>
  </si>
  <si>
    <t>NOPAT Margin</t>
  </si>
  <si>
    <t>Financial Leverage</t>
  </si>
  <si>
    <t>Long-term Debt / Equity</t>
  </si>
  <si>
    <t>Total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</si>
  <si>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</si>
  <si>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</si>
  <si>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</si>
  <si>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</si>
  <si>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</si>
  <si>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</si>
  <si>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To amortize R&amp;D expenses in</t>
  </si>
  <si>
    <t>Year</t>
  </si>
  <si>
    <t>R&amp;D Expense</t>
  </si>
  <si>
    <t>Unamortized portion</t>
  </si>
  <si>
    <t>Amortization this yr</t>
  </si>
  <si>
    <t>Value of Research Asset =</t>
  </si>
  <si>
    <t>Amortization of Asset for current year =</t>
  </si>
  <si>
    <t>Without capitalizing</t>
  </si>
  <si>
    <t>With capitalizing</t>
  </si>
  <si>
    <t>Industry</t>
  </si>
  <si>
    <t>Amortization Period</t>
  </si>
  <si>
    <t>Operating income</t>
  </si>
  <si>
    <t>Non-technological Service</t>
  </si>
  <si>
    <t>2 years</t>
  </si>
  <si>
    <t>Operating margin</t>
  </si>
  <si>
    <t>Retail, Tech Service</t>
  </si>
  <si>
    <t>3 years</t>
  </si>
  <si>
    <t>Reinvestment</t>
  </si>
  <si>
    <t>Light Manufacturing</t>
  </si>
  <si>
    <t>5 years</t>
  </si>
  <si>
    <t>NOPAT</t>
  </si>
  <si>
    <t>Heavy  Manufacturing</t>
  </si>
  <si>
    <t>10 years</t>
  </si>
  <si>
    <t>Net Income</t>
  </si>
  <si>
    <t>Research, with Patenting</t>
  </si>
  <si>
    <t>Invested capital</t>
  </si>
  <si>
    <t>Long Gestation Period</t>
  </si>
  <si>
    <t>Output</t>
  </si>
  <si>
    <t>Equity per books  =</t>
  </si>
  <si>
    <t>Discount</t>
  </si>
  <si>
    <t>Quickly Realizable Values =</t>
  </si>
  <si>
    <t xml:space="preserve">PE = </t>
  </si>
  <si>
    <t>Realizable Value per Shares (VPS) =</t>
  </si>
  <si>
    <t xml:space="preserve">PB = </t>
  </si>
  <si>
    <t xml:space="preserve"> Inputs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</si>
  <si>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</si>
  <si>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</si>
  <si>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</si>
  <si>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</si>
  <si>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</si>
  <si>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</si>
  <si>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</si>
  <si>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ST FV Investments</t>
  </si>
  <si>
    <t>ST Salary</t>
  </si>
  <si>
    <t>ST non-FV Investments</t>
  </si>
  <si>
    <t>ST Lease liabilities</t>
  </si>
  <si>
    <t>ST AR</t>
  </si>
  <si>
    <t>ST AP</t>
  </si>
  <si>
    <t>Customer prepay. &amp; deposits</t>
  </si>
  <si>
    <t>ST SH Loan</t>
  </si>
  <si>
    <t>ST DTA</t>
  </si>
  <si>
    <t>ST DTL</t>
  </si>
  <si>
    <t>Inventory</t>
  </si>
  <si>
    <t>Other ST liabilities</t>
  </si>
  <si>
    <t>Other ST Assets</t>
  </si>
  <si>
    <t>ST-core Monetary Asset</t>
  </si>
  <si>
    <t>ST core LCR</t>
  </si>
  <si>
    <t>ST Monetary Asset</t>
  </si>
  <si>
    <t>ST LCR</t>
  </si>
  <si>
    <t>Current Assets</t>
  </si>
  <si>
    <t>PP&amp;E &amp; Related Deposits</t>
  </si>
  <si>
    <t>LT Borrowing</t>
  </si>
  <si>
    <t>Right-of-use assets</t>
  </si>
  <si>
    <t>LT Lease liabilities</t>
  </si>
  <si>
    <t>Investment property</t>
  </si>
  <si>
    <t>LT AP</t>
  </si>
  <si>
    <t>Investments in JV or associate</t>
  </si>
  <si>
    <t>LT SH Loan</t>
  </si>
  <si>
    <t>Intangible assets</t>
  </si>
  <si>
    <t>LT DTL</t>
  </si>
  <si>
    <t>LT FV Securities</t>
  </si>
  <si>
    <t>Other LT liabilities</t>
  </si>
  <si>
    <t>LT non-FV Securities</t>
  </si>
  <si>
    <t>LT DTA</t>
  </si>
  <si>
    <t>LT AR</t>
  </si>
  <si>
    <t>LT Depositis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</si>
  <si>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</si>
  <si>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</si>
  <si>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</si>
  <si>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</si>
  <si>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</si>
  <si>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</si>
  <si>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</si>
  <si>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</si>
  <si>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</si>
  <si>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</si>
  <si>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1. MV of Minority Interests</t>
  </si>
  <si>
    <t>Minority Interest</t>
  </si>
  <si>
    <t>2. Total Debt and Options</t>
  </si>
  <si>
    <t>+ Preference Shares</t>
  </si>
  <si>
    <t>+ MV of the Options</t>
  </si>
  <si>
    <t>// If avg exercise price &gt; current price, then assume 0</t>
  </si>
  <si>
    <t>Interest-bearing Debt = Total Debt</t>
  </si>
  <si>
    <t>// Use BV Debt by default</t>
  </si>
  <si>
    <t>3. Non-operating Assets, STI &amp; Cash</t>
  </si>
  <si>
    <t>Discount %</t>
  </si>
  <si>
    <t>Quickly realizable Non-operating Assets</t>
  </si>
  <si>
    <t>Market EV</t>
  </si>
  <si>
    <t>FCF Model</t>
  </si>
  <si>
    <t>Value Drivers</t>
  </si>
  <si>
    <t>Terminal Growth</t>
  </si>
  <si>
    <t>// When forecasting: 1. decompose your forecast 2. inside &amp; outside views 3. invert by finding what's impossible to happen.</t>
  </si>
  <si>
    <t>Terminal Year</t>
  </si>
  <si>
    <t>Note</t>
  </si>
  <si>
    <t>Revenue Growth</t>
  </si>
  <si>
    <t>Total Revenue =</t>
  </si>
  <si>
    <t>COGS =</t>
  </si>
  <si>
    <t>Gross Margin =</t>
  </si>
  <si>
    <t xml:space="preserve">Gross profit = </t>
  </si>
  <si>
    <t>Operating Expenses =</t>
  </si>
  <si>
    <t>EBIT Margin =</t>
  </si>
  <si>
    <t>EBIT growth rate</t>
  </si>
  <si>
    <t>// Risk free as proxy in the Long-run, with an range of 3.5-5%</t>
  </si>
  <si>
    <t>Tax rate</t>
  </si>
  <si>
    <t>Incremental ROCE</t>
  </si>
  <si>
    <t>// 0 excess return assumption at terminal year</t>
  </si>
  <si>
    <t>// Growth rate=Reinvestment rate*ROIC in the Long-run</t>
  </si>
  <si>
    <t>FCFF</t>
  </si>
  <si>
    <t>Discount Rate</t>
  </si>
  <si>
    <t>Cumulated Discount factor</t>
  </si>
  <si>
    <t>PV of FCFF</t>
  </si>
  <si>
    <t>Base case return Scenario</t>
  </si>
  <si>
    <t>// used as the valuation floor</t>
  </si>
  <si>
    <t>Terminal Yr EBIT =</t>
  </si>
  <si>
    <t>NOPAT/TV Yield =</t>
  </si>
  <si>
    <t>Terminal Value =</t>
  </si>
  <si>
    <t>+ PV of Terminal Value</t>
  </si>
  <si>
    <t>+ PV of FCFF</t>
  </si>
  <si>
    <t>+ Realizable Non-Op. Asset</t>
  </si>
  <si>
    <t>+ Cash</t>
  </si>
  <si>
    <t>- Total outstanding debt =</t>
  </si>
  <si>
    <t>- MV of Minority Interests</t>
  </si>
  <si>
    <t>Non-operating Asset =</t>
  </si>
  <si>
    <t>Value per common share =</t>
  </si>
  <si>
    <t>Value of equity per share =</t>
  </si>
  <si>
    <t>Normalized return Scenario</t>
  </si>
  <si>
    <t>+ PV of Terminal Value =</t>
  </si>
  <si>
    <t>+ PV of FCFF =</t>
  </si>
  <si>
    <t>Exit TV/NOPAT</t>
  </si>
  <si>
    <t>Exit NOPAT Rate</t>
  </si>
  <si>
    <t>Terminal Value</t>
  </si>
  <si>
    <t>Value per share</t>
  </si>
  <si>
    <t>LFY PE</t>
  </si>
  <si>
    <t>Worst case</t>
  </si>
  <si>
    <t>No excess return</t>
  </si>
  <si>
    <t>NOPAT yield &lt; Discount rate ⇒ growth expectation</t>
  </si>
  <si>
    <t>Reasonable Case</t>
  </si>
  <si>
    <t>Valuation Range =</t>
  </si>
  <si>
    <t>E(Value per share)</t>
  </si>
  <si>
    <t>Current IRR</t>
  </si>
  <si>
    <t>Model Output =</t>
  </si>
  <si>
    <t>The expected value incoporates business risk</t>
  </si>
  <si>
    <t>IRR Analysis</t>
  </si>
  <si>
    <t>Non-op. Asset per share</t>
  </si>
  <si>
    <t>Actual Outlay per share</t>
  </si>
  <si>
    <t>Outlay</t>
  </si>
  <si>
    <t>Implied TV</t>
  </si>
  <si>
    <t>Margin of Safety Analysis</t>
  </si>
  <si>
    <t>PART I: Earnings of the business</t>
  </si>
  <si>
    <t>1. Does the company have a non-cyclical business and a consistent earnings history?</t>
  </si>
  <si>
    <t>Strongly agree</t>
  </si>
  <si>
    <t xml:space="preserve">2. Does the company pay a decent and consistent dividend </t>
  </si>
  <si>
    <t>3. Does the company have simple operating revenue and cogs sources?</t>
  </si>
  <si>
    <r>
      <t xml:space="preserve">⇒ </t>
    </r>
    <r>
      <rPr>
        <b/>
        <i/>
        <u/>
        <sz val="11"/>
        <color rgb="FF000000"/>
        <rFont val="Times New Roman"/>
        <family val="1"/>
      </rPr>
      <t>Earnings forecast quality rating</t>
    </r>
  </si>
  <si>
    <t>PART II: Valuation Error</t>
  </si>
  <si>
    <r>
      <t xml:space="preserve">1. </t>
    </r>
    <r>
      <rPr>
        <b/>
        <sz val="11"/>
        <color rgb="FF000000"/>
        <rFont val="Times New Roman"/>
        <family val="1"/>
      </rPr>
      <t>Reputation Risk</t>
    </r>
    <r>
      <rPr>
        <sz val="11"/>
        <color rgb="FF000000"/>
        <rFont val="Times New Roman"/>
        <family val="1"/>
      </rPr>
      <t>: Does the company have a good reputation?</t>
    </r>
  </si>
  <si>
    <r>
      <t xml:space="preserve">2. </t>
    </r>
    <r>
      <rPr>
        <b/>
        <sz val="11"/>
        <color rgb="FF000000"/>
        <rFont val="Times New Roman"/>
        <family val="1"/>
      </rPr>
      <t>Business Risk:</t>
    </r>
    <r>
      <rPr>
        <sz val="11"/>
        <color rgb="FF000000"/>
        <rFont val="Times New Roman"/>
        <family val="1"/>
      </rPr>
      <t xml:space="preserve"> Does the company have a potent and predictable business?</t>
    </r>
  </si>
  <si>
    <r>
      <t xml:space="preserve">3. </t>
    </r>
    <r>
      <rPr>
        <b/>
        <sz val="11"/>
        <color rgb="FF000000"/>
        <rFont val="Times New Roman"/>
        <family val="1"/>
      </rPr>
      <t>Forecast Risk</t>
    </r>
    <r>
      <rPr>
        <sz val="11"/>
        <color rgb="FF000000"/>
        <rFont val="Times New Roman"/>
        <family val="1"/>
      </rPr>
      <t>: Does the company have stable and consistent earnings and dividend?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</si>
  <si>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</si>
  <si>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</si>
  <si>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</si>
  <si>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1. Does the company have a consistent operating and earning and dividend history?</t>
  </si>
  <si>
    <t>2. Does the company have sustainable competitive advantages?</t>
  </si>
  <si>
    <t>3. Does the company have lots of reinvestment opportunities within their moats?</t>
  </si>
  <si>
    <t>unclear</t>
  </si>
  <si>
    <t>4. Does the company have low amount of operating leverage?</t>
  </si>
  <si>
    <t>disagree</t>
  </si>
  <si>
    <t>5. Does the company have a good opeartional risk management history?</t>
  </si>
  <si>
    <t>PART II: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</si>
  <si>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</si>
  <si>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</si>
  <si>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</si>
  <si>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</si>
  <si>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</si>
  <si>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</si>
  <si>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</si>
  <si>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</si>
  <si>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3. Has management resisted the temptation to grow quickly by merger?</t>
  </si>
  <si>
    <t>4. Have the managers been buying the stock? Has the company resist buying back stock opportunistically?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</si>
  <si>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</si>
  <si>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</si>
  <si>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</si>
  <si>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</si>
  <si>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</si>
  <si>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2. There is no network effect associated with the products/services.</t>
  </si>
  <si>
    <t>3. There is low customer switching cost.</t>
  </si>
  <si>
    <t>4. There are low capital requirements.</t>
  </si>
  <si>
    <t xml:space="preserve">5. There is no incumbency advantages independent of size. (like management skill etc) </t>
  </si>
  <si>
    <t>6. There are equal access to distribution channels.</t>
  </si>
  <si>
    <t>7. There is no restrictive government policy.</t>
  </si>
  <si>
    <t>8. There is little "real" brand barriers. (like the trust in brands in food industry)</t>
  </si>
  <si>
    <t>II. Power of Suppliers =</t>
  </si>
  <si>
    <t>1. The supplier is more concentrated than the industry it sells to.</t>
  </si>
  <si>
    <t>2. The supplier group does not depends heavily on the industry for its revenues.</t>
  </si>
  <si>
    <t>3. There is high switching costs in changing suppliers.</t>
  </si>
  <si>
    <t>4. The suppliers offer products that are differentiated.</t>
  </si>
  <si>
    <t>5. There is no substitute for what the supplier group provides.</t>
  </si>
  <si>
    <t>6. The supplier group can credibly threaten to integrate forward into the industry.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</si>
  <si>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</si>
  <si>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</si>
  <si>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</si>
  <si>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</si>
  <si>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</si>
  <si>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</si>
  <si>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6.The buyer group earns low income, or is strapped for cash.</t>
  </si>
  <si>
    <t>7. The buyers are little affacted by the industry's product.</t>
  </si>
  <si>
    <t>8. The industry’s product has little effect on the buyer’s other costs.</t>
  </si>
  <si>
    <t>IV. Threat of Substitutions =</t>
  </si>
  <si>
    <t>1. There is an unfavorable gap in the price or performance when compared.</t>
  </si>
  <si>
    <t>2. The buyer's cost of switching to the substitute is low.</t>
  </si>
  <si>
    <t>3. It's likely the substitutes will become very attractive in three to five years.</t>
  </si>
  <si>
    <t>4. The company have a negative ESG value.</t>
  </si>
  <si>
    <t>5. How long is the industry average asset life?</t>
  </si>
  <si>
    <t>Consumer Staples, 15.1y</t>
  </si>
  <si>
    <t>V. Rivalry among existing Competitors =</t>
  </si>
  <si>
    <t>1. There are numerous competitors or are roughly equal in size and power.</t>
  </si>
  <si>
    <t>2. Industry growth is slow.</t>
  </si>
  <si>
    <t>3. Exit barriers are high.</t>
  </si>
  <si>
    <t>4. Rivals are highly committed to the business and have aspirations for leadership.</t>
  </si>
  <si>
    <t>5. Firms cannot read each other’s signals well.</t>
  </si>
  <si>
    <t>6. Products or services of rivals are nearly identical with few buyer switching costs.</t>
  </si>
  <si>
    <t>7. Fixed costs are high and marginal costs are low.</t>
  </si>
  <si>
    <t>8. Capacity must be expanded in large increments to be efficient.</t>
  </si>
  <si>
    <t>9. The product is perishable (The opposition is product that gets better with age).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</si>
  <si>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</si>
  <si>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</si>
  <si>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</si>
  <si>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</si>
  <si>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</si>
  <si>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</si>
  <si>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</si>
  <si>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</si>
  <si>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</si>
  <si>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</si>
  <si>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</si>
  <si>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</si>
  <si>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</si>
  <si>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</si>
  <si>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6601.HK</t>
  </si>
  <si>
    <t>CHEERWIN GP</t>
  </si>
  <si>
    <t>HKG</t>
  </si>
  <si>
    <t>CNY</t>
  </si>
  <si>
    <t>CF =</t>
  </si>
  <si>
    <t>Dividend Paid</t>
  </si>
  <si>
    <t>Share Repurchase</t>
  </si>
  <si>
    <t>Dividend and Buyback</t>
  </si>
  <si>
    <t>LFY Dividend and Buyback</t>
  </si>
  <si>
    <t>Non-cash WC/ Sales Requirement =</t>
  </si>
  <si>
    <t>Adjusted 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</si>
</sst>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164" formatCode="&quot;$&quot;#,##0_);[Red]\(&quot;$&quot;#,##0\)"/>
    <numFmt numFmtId="165" formatCode="&quot;$&quot;#,##0.00_);[Red]\(&quot;$&quot;#,##0.00\)"/>
    <numFmt numFmtId="166" formatCode="yyyy\-mm\-dd"/>
    <numFmt numFmtId="167" formatCode="#,##0&quot;mm&quot;"/>
    <numFmt numFmtId="168" formatCode="#,##0.00&quot;x&quot;"/>
    <numFmt numFmtId="169" formatCode="0.00\x"/>
    <numFmt numFmtId="170" formatCode="&quot;Base Allocation &quot;0%"/>
    <numFmt numFmtId="171" formatCode="&quot;Increased Allocation &quot;0%"/>
    <numFmt numFmtId="172" formatCode="&quot;Last Allocation &quot;0%"/>
    <numFmt numFmtId="173" formatCode="[$$]#,##0&quot;m&quot;"/>
    <numFmt numFmtId="174" formatCode="&quot;Past &quot;0&quot; yrs Avg. NI&quot;"/>
    <numFmt numFmtId="175" formatCode="0\ &quot;Years&quot;"/>
    <numFmt numFmtId="176" formatCode="&quot;Past Actual &quot;0&quot;Y&quot;"/>
    <numFmt numFmtId="177" formatCode="0.00&quot;x&quot;"/>
    <numFmt numFmtId="178" formatCode="&quot;Past &quot;0&quot; yrs Avg. NOPAT&quot;"/>
    <numFmt numFmtId="179" formatCode="&quot;Total &quot;0%"/>
    <numFmt numFmtId="180" formatCode="#,##0;[Red]\(#,##0\);\-"/>
    <numFmt numFmtId="181" formatCode="&quot;FCF Value = &quot;0.00"/>
    <numFmt numFmtId="182" formatCode="&quot;Ideal Price = &quot;0.00"/>
    <numFmt numFmtId="183" formatCode="&quot;Current Price = &quot;0.00"/>
    <numFmt numFmtId="184" formatCode="dd/mm/yyyy;@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i/>
      <sz val="11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i/>
      <u/>
      <sz val="11"/>
      <color theme="1"/>
      <name val="Times New Roman"/>
      <family val="1"/>
    </font>
    <font>
      <u/>
      <sz val="11"/>
      <color rgb="FF0000FF"/>
      <name val="Times New Roman"/>
      <family val="1"/>
    </font>
    <font>
      <u/>
      <sz val="11"/>
      <color theme="1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sz val="11"/>
      <color rgb="FF00000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1C4587"/>
        <bgColor rgb="FF1C4587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2" tint="-0.14999847407452621"/>
        <bgColor rgb="FFB6D7A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</fills>
  <borders count="6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uble">
        <color rgb="FF000000"/>
      </top>
      <bottom/>
      <diagonal/>
    </border>
    <border>
      <left/>
      <right style="dotted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indexed="64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 style="dotted">
        <color indexed="64"/>
      </bottom>
      <diagonal/>
    </border>
    <border>
      <left/>
      <right style="dotted">
        <color indexed="64"/>
      </right>
      <top style="thin">
        <color rgb="FF000000"/>
      </top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10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5" borderId="9" xfId="0" applyFont="1" applyFill="1" applyBorder="1"/>
    <xf numFmtId="0" fontId="5" fillId="10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8" fillId="0" borderId="2" xfId="0" applyFont="1" applyBorder="1" applyAlignment="1">
      <alignment horizontal="right"/>
    </xf>
    <xf numFmtId="0" fontId="6" fillId="0" borderId="2" xfId="0" applyFont="1" applyBorder="1"/>
    <xf numFmtId="0" fontId="16" fillId="11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7" fillId="11" borderId="9" xfId="0" applyFont="1" applyFill="1" applyBorder="1"/>
    <xf numFmtId="169" fontId="1" fillId="0" borderId="13" xfId="0" applyNumberFormat="1" applyFont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10" fontId="1" fillId="4" borderId="13" xfId="0" applyNumberFormat="1" applyFont="1" applyFill="1" applyBorder="1" applyAlignment="1">
      <alignment horizontal="center"/>
    </xf>
    <xf numFmtId="0" fontId="16" fillId="11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10" fontId="1" fillId="4" borderId="20" xfId="0" applyNumberFormat="1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4" fontId="2" fillId="13" borderId="21" xfId="0" applyNumberFormat="1" applyFont="1" applyFill="1" applyBorder="1" applyAlignment="1">
      <alignment horizontal="right"/>
    </xf>
    <xf numFmtId="0" fontId="2" fillId="13" borderId="22" xfId="0" applyFont="1" applyFill="1" applyBorder="1" applyAlignment="1">
      <alignment horizontal="left"/>
    </xf>
    <xf numFmtId="164" fontId="2" fillId="13" borderId="2" xfId="0" applyNumberFormat="1" applyFont="1" applyFill="1" applyBorder="1" applyAlignment="1">
      <alignment horizontal="center"/>
    </xf>
    <xf numFmtId="3" fontId="2" fillId="13" borderId="13" xfId="0" applyNumberFormat="1" applyFont="1" applyFill="1" applyBorder="1" applyAlignment="1">
      <alignment horizontal="center"/>
    </xf>
    <xf numFmtId="0" fontId="3" fillId="5" borderId="9" xfId="0" applyFont="1" applyFill="1" applyBorder="1"/>
    <xf numFmtId="0" fontId="18" fillId="0" borderId="0" xfId="0" applyFont="1"/>
    <xf numFmtId="0" fontId="10" fillId="0" borderId="0" xfId="0" applyFont="1"/>
    <xf numFmtId="0" fontId="3" fillId="10" borderId="9" xfId="0" applyFont="1" applyFill="1" applyBorder="1"/>
    <xf numFmtId="0" fontId="10" fillId="0" borderId="2" xfId="0" applyFont="1" applyBorder="1"/>
    <xf numFmtId="174" fontId="2" fillId="13" borderId="9" xfId="0" applyNumberFormat="1" applyFont="1" applyFill="1" applyBorder="1" applyAlignment="1">
      <alignment horizontal="left"/>
    </xf>
    <xf numFmtId="3" fontId="1" fillId="8" borderId="17" xfId="0" applyNumberFormat="1" applyFont="1" applyFill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78" fontId="7" fillId="0" borderId="9" xfId="0" applyNumberFormat="1" applyFont="1" applyBorder="1" applyAlignment="1">
      <alignment horizontal="left"/>
    </xf>
    <xf numFmtId="3" fontId="1" fillId="8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0" borderId="9" xfId="0" applyFont="1" applyBorder="1" applyAlignment="1">
      <alignment wrapText="1"/>
    </xf>
    <xf numFmtId="0" fontId="19" fillId="7" borderId="5" xfId="0" applyFont="1" applyFill="1" applyBorder="1" applyAlignment="1">
      <alignment horizontal="center"/>
    </xf>
    <xf numFmtId="0" fontId="19" fillId="7" borderId="25" xfId="0" applyFont="1" applyFill="1" applyBorder="1" applyAlignment="1">
      <alignment horizontal="center"/>
    </xf>
    <xf numFmtId="0" fontId="20" fillId="0" borderId="32" xfId="0" applyFont="1" applyBorder="1" applyAlignment="1">
      <alignment horizontal="center" wrapText="1"/>
    </xf>
    <xf numFmtId="0" fontId="20" fillId="0" borderId="33" xfId="0" applyFont="1" applyBorder="1" applyAlignment="1">
      <alignment horizontal="center" wrapText="1"/>
    </xf>
    <xf numFmtId="3" fontId="1" fillId="4" borderId="13" xfId="0" applyNumberFormat="1" applyFont="1" applyFill="1" applyBorder="1" applyAlignment="1">
      <alignment horizontal="center"/>
    </xf>
    <xf numFmtId="0" fontId="20" fillId="0" borderId="34" xfId="0" applyFont="1" applyBorder="1" applyAlignment="1">
      <alignment horizontal="center" wrapText="1"/>
    </xf>
    <xf numFmtId="3" fontId="1" fillId="0" borderId="20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0" fontId="1" fillId="0" borderId="27" xfId="0" applyNumberFormat="1" applyFont="1" applyBorder="1" applyAlignment="1">
      <alignment horizontal="center"/>
    </xf>
    <xf numFmtId="10" fontId="1" fillId="0" borderId="20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5" fillId="0" borderId="1" xfId="0" applyFont="1" applyBorder="1"/>
    <xf numFmtId="0" fontId="1" fillId="0" borderId="5" xfId="0" applyFont="1" applyBorder="1"/>
    <xf numFmtId="2" fontId="19" fillId="2" borderId="4" xfId="0" applyNumberFormat="1" applyFont="1" applyFill="1" applyBorder="1" applyAlignment="1">
      <alignment horizontal="center"/>
    </xf>
    <xf numFmtId="2" fontId="19" fillId="2" borderId="9" xfId="0" applyNumberFormat="1" applyFont="1" applyFill="1" applyBorder="1" applyAlignment="1">
      <alignment horizontal="center"/>
    </xf>
    <xf numFmtId="2" fontId="19" fillId="2" borderId="3" xfId="0" applyNumberFormat="1" applyFont="1" applyFill="1" applyBorder="1"/>
    <xf numFmtId="2" fontId="1" fillId="4" borderId="4" xfId="0" applyNumberFormat="1" applyFont="1" applyFill="1" applyBorder="1" applyAlignment="1">
      <alignment horizontal="center"/>
    </xf>
    <xf numFmtId="1" fontId="2" fillId="3" borderId="9" xfId="0" applyNumberFormat="1" applyFont="1" applyFill="1" applyBorder="1" applyAlignment="1">
      <alignment horizontal="center"/>
    </xf>
    <xf numFmtId="2" fontId="1" fillId="4" borderId="9" xfId="0" applyNumberFormat="1" applyFont="1" applyFill="1" applyBorder="1" applyAlignment="1">
      <alignment horizontal="center"/>
    </xf>
    <xf numFmtId="1" fontId="1" fillId="4" borderId="9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right"/>
    </xf>
    <xf numFmtId="1" fontId="1" fillId="4" borderId="4" xfId="0" applyNumberFormat="1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19" fillId="2" borderId="4" xfId="0" applyFont="1" applyFill="1" applyBorder="1"/>
    <xf numFmtId="0" fontId="19" fillId="2" borderId="9" xfId="0" applyFont="1" applyFill="1" applyBorder="1" applyAlignment="1">
      <alignment horizontal="center"/>
    </xf>
    <xf numFmtId="0" fontId="21" fillId="0" borderId="0" xfId="0" applyFont="1"/>
    <xf numFmtId="0" fontId="21" fillId="0" borderId="3" xfId="0" applyFont="1" applyBorder="1"/>
    <xf numFmtId="3" fontId="1" fillId="4" borderId="9" xfId="0" applyNumberFormat="1" applyFont="1" applyFill="1" applyBorder="1" applyAlignment="1">
      <alignment horizontal="center"/>
    </xf>
    <xf numFmtId="10" fontId="1" fillId="4" borderId="9" xfId="0" applyNumberFormat="1" applyFont="1" applyFill="1" applyBorder="1" applyAlignment="1">
      <alignment horizontal="center"/>
    </xf>
    <xf numFmtId="0" fontId="1" fillId="0" borderId="7" xfId="0" applyFont="1" applyBorder="1"/>
    <xf numFmtId="3" fontId="1" fillId="4" borderId="2" xfId="0" applyNumberFormat="1" applyFont="1" applyFill="1" applyBorder="1" applyAlignment="1">
      <alignment horizontal="center"/>
    </xf>
    <xf numFmtId="0" fontId="1" fillId="0" borderId="8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17" xfId="0" applyNumberFormat="1" applyFont="1" applyBorder="1"/>
    <xf numFmtId="0" fontId="1" fillId="0" borderId="0" xfId="0" quotePrefix="1" applyFont="1"/>
    <xf numFmtId="3" fontId="1" fillId="0" borderId="16" xfId="0" applyNumberFormat="1" applyFont="1" applyBorder="1"/>
    <xf numFmtId="0" fontId="16" fillId="0" borderId="9" xfId="0" applyFont="1" applyBorder="1" applyAlignment="1">
      <alignment horizontal="center"/>
    </xf>
    <xf numFmtId="4" fontId="1" fillId="4" borderId="31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9" borderId="9" xfId="0" applyFont="1" applyFill="1" applyBorder="1"/>
    <xf numFmtId="3" fontId="2" fillId="12" borderId="13" xfId="0" applyNumberFormat="1" applyFont="1" applyFill="1" applyBorder="1"/>
    <xf numFmtId="10" fontId="2" fillId="12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3" fontId="8" fillId="0" borderId="13" xfId="0" applyNumberFormat="1" applyFont="1" applyBorder="1" applyAlignment="1">
      <alignment horizontal="center"/>
    </xf>
    <xf numFmtId="169" fontId="8" fillId="4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3" fontId="2" fillId="12" borderId="13" xfId="0" applyNumberFormat="1" applyFont="1" applyFill="1" applyBorder="1" applyAlignment="1">
      <alignment horizontal="center"/>
    </xf>
    <xf numFmtId="0" fontId="21" fillId="0" borderId="9" xfId="0" applyFont="1" applyBorder="1" applyAlignment="1">
      <alignment horizontal="center" vertical="center"/>
    </xf>
    <xf numFmtId="176" fontId="22" fillId="12" borderId="9" xfId="0" applyNumberFormat="1" applyFont="1" applyFill="1" applyBorder="1" applyAlignment="1">
      <alignment horizontal="center"/>
    </xf>
    <xf numFmtId="0" fontId="23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10" fontId="1" fillId="0" borderId="20" xfId="0" applyNumberFormat="1" applyFont="1" applyBorder="1" applyAlignment="1">
      <alignment horizontal="center" vertical="center"/>
    </xf>
    <xf numFmtId="10" fontId="5" fillId="0" borderId="20" xfId="0" applyNumberFormat="1" applyFont="1" applyBorder="1" applyAlignment="1">
      <alignment horizontal="center" vertical="center"/>
    </xf>
    <xf numFmtId="10" fontId="2" fillId="0" borderId="9" xfId="0" applyNumberFormat="1" applyFont="1" applyBorder="1" applyAlignment="1">
      <alignment horizontal="left"/>
    </xf>
    <xf numFmtId="0" fontId="18" fillId="0" borderId="9" xfId="0" applyFont="1" applyBorder="1" applyAlignment="1">
      <alignment vertical="center"/>
    </xf>
    <xf numFmtId="0" fontId="17" fillId="0" borderId="0" xfId="0" applyFont="1"/>
    <xf numFmtId="10" fontId="1" fillId="4" borderId="17" xfId="0" applyNumberFormat="1" applyFont="1" applyFill="1" applyBorder="1" applyAlignment="1">
      <alignment horizontal="center"/>
    </xf>
    <xf numFmtId="10" fontId="2" fillId="12" borderId="17" xfId="0" applyNumberFormat="1" applyFont="1" applyFill="1" applyBorder="1" applyAlignment="1">
      <alignment horizontal="center"/>
    </xf>
    <xf numFmtId="0" fontId="2" fillId="0" borderId="0" xfId="0" applyFont="1"/>
    <xf numFmtId="3" fontId="5" fillId="0" borderId="13" xfId="0" applyNumberFormat="1" applyFont="1" applyBorder="1" applyAlignment="1">
      <alignment horizontal="center"/>
    </xf>
    <xf numFmtId="3" fontId="1" fillId="4" borderId="20" xfId="0" applyNumberFormat="1" applyFont="1" applyFill="1" applyBorder="1" applyAlignment="1">
      <alignment horizontal="center"/>
    </xf>
    <xf numFmtId="0" fontId="3" fillId="0" borderId="9" xfId="0" applyFont="1" applyBorder="1"/>
    <xf numFmtId="10" fontId="4" fillId="12" borderId="17" xfId="0" applyNumberFormat="1" applyFont="1" applyFill="1" applyBorder="1" applyAlignment="1">
      <alignment horizontal="center"/>
    </xf>
    <xf numFmtId="10" fontId="3" fillId="4" borderId="13" xfId="0" applyNumberFormat="1" applyFont="1" applyFill="1" applyBorder="1" applyAlignment="1">
      <alignment horizontal="center"/>
    </xf>
    <xf numFmtId="10" fontId="4" fillId="12" borderId="13" xfId="0" applyNumberFormat="1" applyFont="1" applyFill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3" fontId="2" fillId="12" borderId="20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right"/>
    </xf>
    <xf numFmtId="10" fontId="3" fillId="0" borderId="13" xfId="0" applyNumberFormat="1" applyFont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10" fontId="2" fillId="12" borderId="20" xfId="0" applyNumberFormat="1" applyFont="1" applyFill="1" applyBorder="1" applyAlignment="1">
      <alignment horizontal="center"/>
    </xf>
    <xf numFmtId="3" fontId="1" fillId="0" borderId="17" xfId="0" applyNumberFormat="1" applyFont="1" applyBorder="1" applyAlignment="1">
      <alignment horizontal="center"/>
    </xf>
    <xf numFmtId="3" fontId="1" fillId="4" borderId="17" xfId="0" applyNumberFormat="1" applyFont="1" applyFill="1" applyBorder="1" applyAlignment="1">
      <alignment horizontal="center"/>
    </xf>
    <xf numFmtId="3" fontId="2" fillId="0" borderId="0" xfId="0" applyNumberFormat="1" applyFont="1" applyAlignment="1">
      <alignment horizontal="center"/>
    </xf>
    <xf numFmtId="10" fontId="1" fillId="6" borderId="13" xfId="0" applyNumberFormat="1" applyFont="1" applyFill="1" applyBorder="1" applyAlignment="1">
      <alignment horizontal="center"/>
    </xf>
    <xf numFmtId="0" fontId="1" fillId="0" borderId="10" xfId="0" applyFont="1" applyBorder="1" applyAlignment="1">
      <alignment horizontal="left"/>
    </xf>
    <xf numFmtId="3" fontId="1" fillId="0" borderId="26" xfId="0" applyNumberFormat="1" applyFont="1" applyBorder="1" applyAlignment="1">
      <alignment horizontal="center"/>
    </xf>
    <xf numFmtId="3" fontId="2" fillId="12" borderId="26" xfId="0" applyNumberFormat="1" applyFont="1" applyFill="1" applyBorder="1" applyAlignment="1">
      <alignment horizontal="center"/>
    </xf>
    <xf numFmtId="3" fontId="1" fillId="4" borderId="26" xfId="0" applyNumberFormat="1" applyFont="1" applyFill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3" fontId="1" fillId="4" borderId="19" xfId="0" applyNumberFormat="1" applyFont="1" applyFill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10" fontId="1" fillId="4" borderId="26" xfId="0" applyNumberFormat="1" applyFont="1" applyFill="1" applyBorder="1" applyAlignment="1">
      <alignment horizontal="center"/>
    </xf>
    <xf numFmtId="10" fontId="1" fillId="0" borderId="26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10" xfId="0" applyNumberFormat="1" applyFont="1" applyBorder="1" applyAlignment="1">
      <alignment horizontal="center"/>
    </xf>
    <xf numFmtId="0" fontId="5" fillId="0" borderId="0" xfId="0" quotePrefix="1" applyFont="1"/>
    <xf numFmtId="3" fontId="1" fillId="0" borderId="23" xfId="0" applyNumberFormat="1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2" fontId="1" fillId="0" borderId="20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6" fillId="0" borderId="9" xfId="0" applyFont="1" applyBorder="1" applyAlignment="1">
      <alignment horizontal="right"/>
    </xf>
    <xf numFmtId="169" fontId="1" fillId="0" borderId="9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10" fontId="8" fillId="0" borderId="9" xfId="0" applyNumberFormat="1" applyFont="1" applyBorder="1" applyAlignment="1">
      <alignment horizontal="center"/>
    </xf>
    <xf numFmtId="169" fontId="7" fillId="0" borderId="9" xfId="0" applyNumberFormat="1" applyFont="1" applyBorder="1" applyAlignment="1">
      <alignment horizontal="center"/>
    </xf>
    <xf numFmtId="10" fontId="9" fillId="0" borderId="0" xfId="0" applyNumberFormat="1" applyFont="1" applyAlignment="1">
      <alignment horizontal="left" vertical="center"/>
    </xf>
    <xf numFmtId="4" fontId="1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2" xfId="0" applyFont="1" applyBorder="1" applyAlignment="1">
      <alignment horizontal="center"/>
    </xf>
    <xf numFmtId="0" fontId="17" fillId="0" borderId="0" xfId="0" applyFont="1" applyAlignment="1">
      <alignment horizontal="left"/>
    </xf>
    <xf numFmtId="3" fontId="7" fillId="0" borderId="11" xfId="0" applyNumberFormat="1" applyFont="1" applyBorder="1"/>
    <xf numFmtId="10" fontId="5" fillId="0" borderId="9" xfId="0" applyNumberFormat="1" applyFont="1" applyBorder="1" applyAlignment="1">
      <alignment horizontal="center"/>
    </xf>
    <xf numFmtId="10" fontId="5" fillId="0" borderId="11" xfId="0" applyNumberFormat="1" applyFont="1" applyBorder="1" applyAlignment="1">
      <alignment horizontal="center"/>
    </xf>
    <xf numFmtId="177" fontId="5" fillId="0" borderId="1" xfId="0" applyNumberFormat="1" applyFont="1" applyBorder="1" applyAlignment="1">
      <alignment horizontal="center"/>
    </xf>
    <xf numFmtId="3" fontId="5" fillId="0" borderId="12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/>
    </xf>
    <xf numFmtId="177" fontId="5" fillId="0" borderId="12" xfId="0" applyNumberFormat="1" applyFont="1" applyBorder="1" applyAlignment="1">
      <alignment horizontal="center"/>
    </xf>
    <xf numFmtId="177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177" fontId="5" fillId="0" borderId="2" xfId="0" applyNumberFormat="1" applyFont="1" applyBorder="1" applyAlignment="1">
      <alignment horizontal="center"/>
    </xf>
    <xf numFmtId="3" fontId="5" fillId="0" borderId="2" xfId="0" applyNumberFormat="1" applyFont="1" applyBorder="1" applyAlignment="1">
      <alignment horizontal="center"/>
    </xf>
    <xf numFmtId="4" fontId="5" fillId="0" borderId="20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7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4" fontId="2" fillId="12" borderId="13" xfId="0" applyNumberFormat="1" applyFont="1" applyFill="1" applyBorder="1" applyAlignment="1">
      <alignment horizontal="center"/>
    </xf>
    <xf numFmtId="4" fontId="3" fillId="4" borderId="2" xfId="0" applyNumberFormat="1" applyFont="1" applyFill="1" applyBorder="1" applyAlignment="1">
      <alignment horizontal="right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9" fillId="0" borderId="9" xfId="0" applyFont="1" applyBorder="1"/>
    <xf numFmtId="0" fontId="18" fillId="0" borderId="2" xfId="0" applyFont="1" applyBorder="1"/>
    <xf numFmtId="0" fontId="24" fillId="0" borderId="9" xfId="0" applyFont="1" applyBorder="1"/>
    <xf numFmtId="0" fontId="16" fillId="0" borderId="9" xfId="0" applyFont="1" applyBorder="1"/>
    <xf numFmtId="0" fontId="25" fillId="0" borderId="0" xfId="0" applyFont="1"/>
    <xf numFmtId="10" fontId="5" fillId="4" borderId="13" xfId="0" applyNumberFormat="1" applyFont="1" applyFill="1" applyBorder="1" applyAlignment="1">
      <alignment horizontal="center"/>
    </xf>
    <xf numFmtId="0" fontId="26" fillId="0" borderId="0" xfId="0" applyFont="1"/>
    <xf numFmtId="0" fontId="19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9" fillId="0" borderId="9" xfId="0" applyNumberFormat="1" applyFont="1" applyBorder="1" applyAlignment="1">
      <alignment horizontal="center"/>
    </xf>
    <xf numFmtId="10" fontId="19" fillId="0" borderId="9" xfId="0" applyNumberFormat="1" applyFont="1" applyBorder="1"/>
    <xf numFmtId="0" fontId="27" fillId="0" borderId="4" xfId="0" applyFont="1" applyBorder="1"/>
    <xf numFmtId="0" fontId="19" fillId="0" borderId="0" xfId="0" applyFont="1"/>
    <xf numFmtId="0" fontId="19" fillId="0" borderId="3" xfId="0" applyFont="1" applyBorder="1"/>
    <xf numFmtId="0" fontId="19" fillId="0" borderId="4" xfId="0" applyFont="1" applyBorder="1"/>
    <xf numFmtId="10" fontId="19" fillId="0" borderId="3" xfId="0" applyNumberFormat="1" applyFont="1" applyBorder="1"/>
    <xf numFmtId="0" fontId="19" fillId="0" borderId="7" xfId="0" applyFont="1" applyBorder="1"/>
    <xf numFmtId="0" fontId="19" fillId="0" borderId="2" xfId="0" applyFont="1" applyBorder="1"/>
    <xf numFmtId="10" fontId="19" fillId="0" borderId="8" xfId="0" applyNumberFormat="1" applyFont="1" applyBorder="1"/>
    <xf numFmtId="0" fontId="5" fillId="14" borderId="9" xfId="0" applyFont="1" applyFill="1" applyBorder="1"/>
    <xf numFmtId="10" fontId="1" fillId="15" borderId="20" xfId="0" applyNumberFormat="1" applyFont="1" applyFill="1" applyBorder="1" applyAlignment="1">
      <alignment horizontal="center"/>
    </xf>
    <xf numFmtId="0" fontId="1" fillId="15" borderId="2" xfId="0" applyFont="1" applyFill="1" applyBorder="1" applyAlignment="1">
      <alignment horizontal="center"/>
    </xf>
    <xf numFmtId="10" fontId="1" fillId="4" borderId="35" xfId="0" applyNumberFormat="1" applyFont="1" applyFill="1" applyBorder="1" applyAlignment="1">
      <alignment horizontal="center"/>
    </xf>
    <xf numFmtId="0" fontId="1" fillId="15" borderId="36" xfId="0" applyFont="1" applyFill="1" applyBorder="1" applyAlignment="1">
      <alignment horizontal="center"/>
    </xf>
    <xf numFmtId="0" fontId="1" fillId="15" borderId="37" xfId="0" applyFont="1" applyFill="1" applyBorder="1" applyAlignment="1">
      <alignment horizontal="center"/>
    </xf>
    <xf numFmtId="10" fontId="1" fillId="4" borderId="38" xfId="0" applyNumberFormat="1" applyFont="1" applyFill="1" applyBorder="1" applyAlignment="1">
      <alignment horizontal="center"/>
    </xf>
    <xf numFmtId="3" fontId="1" fillId="4" borderId="39" xfId="0" applyNumberFormat="1" applyFont="1" applyFill="1" applyBorder="1" applyAlignment="1">
      <alignment horizontal="center"/>
    </xf>
    <xf numFmtId="0" fontId="1" fillId="14" borderId="40" xfId="0" applyFont="1" applyFill="1" applyBorder="1" applyAlignment="1">
      <alignment horizontal="center"/>
    </xf>
    <xf numFmtId="0" fontId="5" fillId="0" borderId="12" xfId="0" applyFont="1" applyBorder="1"/>
    <xf numFmtId="180" fontId="1" fillId="4" borderId="13" xfId="0" applyNumberFormat="1" applyFont="1" applyFill="1" applyBorder="1" applyAlignment="1">
      <alignment horizontal="center"/>
    </xf>
    <xf numFmtId="180" fontId="1" fillId="4" borderId="20" xfId="0" applyNumberFormat="1" applyFont="1" applyFill="1" applyBorder="1" applyAlignment="1">
      <alignment horizontal="center"/>
    </xf>
    <xf numFmtId="10" fontId="2" fillId="14" borderId="9" xfId="0" applyNumberFormat="1" applyFont="1" applyFill="1" applyBorder="1" applyAlignment="1">
      <alignment horizontal="center"/>
    </xf>
    <xf numFmtId="180" fontId="1" fillId="16" borderId="9" xfId="0" applyNumberFormat="1" applyFont="1" applyFill="1" applyBorder="1" applyAlignment="1">
      <alignment horizontal="center"/>
    </xf>
    <xf numFmtId="0" fontId="2" fillId="0" borderId="9" xfId="0" applyFont="1" applyBorder="1"/>
    <xf numFmtId="10" fontId="4" fillId="14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10" fontId="1" fillId="16" borderId="9" xfId="0" applyNumberFormat="1" applyFont="1" applyFill="1" applyBorder="1" applyAlignment="1">
      <alignment horizontal="center"/>
    </xf>
    <xf numFmtId="38" fontId="2" fillId="12" borderId="13" xfId="0" applyNumberFormat="1" applyFont="1" applyFill="1" applyBorder="1" applyAlignment="1">
      <alignment horizontal="center"/>
    </xf>
    <xf numFmtId="38" fontId="1" fillId="4" borderId="20" xfId="0" applyNumberFormat="1" applyFont="1" applyFill="1" applyBorder="1" applyAlignment="1">
      <alignment horizontal="center"/>
    </xf>
    <xf numFmtId="10" fontId="2" fillId="13" borderId="41" xfId="0" applyNumberFormat="1" applyFont="1" applyFill="1" applyBorder="1" applyAlignment="1">
      <alignment horizontal="center"/>
    </xf>
    <xf numFmtId="3" fontId="1" fillId="15" borderId="26" xfId="0" applyNumberFormat="1" applyFont="1" applyFill="1" applyBorder="1" applyAlignment="1">
      <alignment horizontal="center"/>
    </xf>
    <xf numFmtId="3" fontId="1" fillId="4" borderId="42" xfId="0" applyNumberFormat="1" applyFont="1" applyFill="1" applyBorder="1" applyAlignment="1">
      <alignment horizontal="center"/>
    </xf>
    <xf numFmtId="3" fontId="1" fillId="15" borderId="15" xfId="0" applyNumberFormat="1" applyFont="1" applyFill="1" applyBorder="1" applyAlignment="1">
      <alignment horizontal="center"/>
    </xf>
    <xf numFmtId="0" fontId="1" fillId="17" borderId="9" xfId="0" applyFont="1" applyFill="1" applyBorder="1"/>
    <xf numFmtId="0" fontId="1" fillId="17" borderId="2" xfId="0" applyFont="1" applyFill="1" applyBorder="1"/>
    <xf numFmtId="0" fontId="5" fillId="0" borderId="9" xfId="0" applyFont="1" applyBorder="1" applyAlignment="1">
      <alignment horizontal="center" vertical="center"/>
    </xf>
    <xf numFmtId="3" fontId="1" fillId="4" borderId="45" xfId="0" applyNumberFormat="1" applyFont="1" applyFill="1" applyBorder="1" applyAlignment="1">
      <alignment horizontal="left"/>
    </xf>
    <xf numFmtId="169" fontId="1" fillId="0" borderId="46" xfId="0" applyNumberFormat="1" applyFont="1" applyBorder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 vertical="center"/>
    </xf>
    <xf numFmtId="168" fontId="1" fillId="0" borderId="27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0" borderId="46" xfId="0" applyNumberFormat="1" applyFont="1" applyBorder="1" applyAlignment="1">
      <alignment horizontal="center"/>
    </xf>
    <xf numFmtId="10" fontId="2" fillId="13" borderId="15" xfId="0" applyNumberFormat="1" applyFont="1" applyFill="1" applyBorder="1" applyAlignment="1">
      <alignment horizontal="center"/>
    </xf>
    <xf numFmtId="0" fontId="2" fillId="12" borderId="27" xfId="0" applyFont="1" applyFill="1" applyBorder="1" applyAlignment="1">
      <alignment horizontal="center"/>
    </xf>
    <xf numFmtId="10" fontId="5" fillId="18" borderId="13" xfId="0" applyNumberFormat="1" applyFont="1" applyFill="1" applyBorder="1" applyAlignment="1">
      <alignment horizontal="center"/>
    </xf>
    <xf numFmtId="10" fontId="19" fillId="0" borderId="9" xfId="0" applyNumberFormat="1" applyFont="1" applyBorder="1" applyAlignment="1">
      <alignment horizontal="center"/>
    </xf>
    <xf numFmtId="0" fontId="28" fillId="0" borderId="0" xfId="0" applyFont="1" applyAlignment="1">
      <alignment horizontal="center"/>
    </xf>
    <xf numFmtId="0" fontId="16" fillId="0" borderId="11" xfId="0" applyFont="1" applyBorder="1" applyAlignment="1">
      <alignment horizontal="center"/>
    </xf>
    <xf numFmtId="10" fontId="16" fillId="0" borderId="9" xfId="0" applyNumberFormat="1" applyFont="1" applyBorder="1" applyAlignment="1">
      <alignment horizontal="center"/>
    </xf>
    <xf numFmtId="181" fontId="5" fillId="0" borderId="9" xfId="0" applyNumberFormat="1" applyFont="1" applyBorder="1" applyAlignment="1">
      <alignment horizontal="center"/>
    </xf>
    <xf numFmtId="10" fontId="1" fillId="0" borderId="47" xfId="0" applyNumberFormat="1" applyFont="1" applyBorder="1" applyAlignment="1">
      <alignment horizontal="center"/>
    </xf>
    <xf numFmtId="10" fontId="5" fillId="0" borderId="47" xfId="0" applyNumberFormat="1" applyFont="1" applyBorder="1" applyAlignment="1">
      <alignment horizontal="center"/>
    </xf>
    <xf numFmtId="10" fontId="5" fillId="0" borderId="48" xfId="0" applyNumberFormat="1" applyFont="1" applyBorder="1" applyAlignment="1">
      <alignment horizontal="center"/>
    </xf>
    <xf numFmtId="10" fontId="1" fillId="0" borderId="49" xfId="0" applyNumberFormat="1" applyFont="1" applyBorder="1" applyAlignment="1">
      <alignment horizontal="center"/>
    </xf>
    <xf numFmtId="10" fontId="5" fillId="0" borderId="49" xfId="0" applyNumberFormat="1" applyFont="1" applyBorder="1" applyAlignment="1">
      <alignment horizontal="center"/>
    </xf>
    <xf numFmtId="169" fontId="1" fillId="0" borderId="48" xfId="0" applyNumberFormat="1" applyFont="1" applyBorder="1" applyAlignment="1">
      <alignment horizontal="center"/>
    </xf>
    <xf numFmtId="169" fontId="1" fillId="0" borderId="47" xfId="0" applyNumberFormat="1" applyFont="1" applyBorder="1" applyAlignment="1">
      <alignment horizontal="center"/>
    </xf>
    <xf numFmtId="169" fontId="1" fillId="0" borderId="49" xfId="0" applyNumberFormat="1" applyFont="1" applyBorder="1" applyAlignment="1">
      <alignment horizontal="center"/>
    </xf>
    <xf numFmtId="181" fontId="16" fillId="0" borderId="9" xfId="0" applyNumberFormat="1" applyFont="1" applyBorder="1" applyAlignment="1">
      <alignment horizontal="center"/>
    </xf>
    <xf numFmtId="182" fontId="4" fillId="12" borderId="11" xfId="0" applyNumberFormat="1" applyFont="1" applyFill="1" applyBorder="1" applyAlignment="1">
      <alignment horizontal="center"/>
    </xf>
    <xf numFmtId="10" fontId="1" fillId="19" borderId="48" xfId="0" applyNumberFormat="1" applyFont="1" applyFill="1" applyBorder="1" applyAlignment="1">
      <alignment horizontal="center"/>
    </xf>
    <xf numFmtId="10" fontId="1" fillId="19" borderId="47" xfId="0" applyNumberFormat="1" applyFont="1" applyFill="1" applyBorder="1" applyAlignment="1">
      <alignment horizontal="center"/>
    </xf>
    <xf numFmtId="10" fontId="1" fillId="19" borderId="49" xfId="0" applyNumberFormat="1" applyFont="1" applyFill="1" applyBorder="1" applyAlignment="1">
      <alignment horizontal="center"/>
    </xf>
    <xf numFmtId="10" fontId="1" fillId="0" borderId="48" xfId="0" applyNumberFormat="1" applyFont="1" applyBorder="1" applyAlignment="1">
      <alignment horizontal="center"/>
    </xf>
    <xf numFmtId="183" fontId="16" fillId="0" borderId="9" xfId="0" applyNumberFormat="1" applyFont="1" applyBorder="1" applyAlignment="1">
      <alignment horizontal="center"/>
    </xf>
    <xf numFmtId="0" fontId="5" fillId="11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13" borderId="54" xfId="0" applyNumberFormat="1" applyFont="1" applyFill="1" applyBorder="1" applyAlignment="1">
      <alignment horizontal="center"/>
    </xf>
    <xf numFmtId="0" fontId="1" fillId="0" borderId="54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2" fontId="1" fillId="0" borderId="11" xfId="0" applyNumberFormat="1" applyFont="1" applyBorder="1" applyAlignment="1">
      <alignment horizontal="center"/>
    </xf>
    <xf numFmtId="0" fontId="7" fillId="0" borderId="11" xfId="0" applyFont="1" applyBorder="1"/>
    <xf numFmtId="3" fontId="5" fillId="0" borderId="55" xfId="0" applyNumberFormat="1" applyFont="1" applyBorder="1" applyAlignment="1">
      <alignment horizontal="center"/>
    </xf>
    <xf numFmtId="4" fontId="5" fillId="0" borderId="47" xfId="0" applyNumberFormat="1" applyFont="1" applyBorder="1" applyAlignment="1">
      <alignment horizontal="center"/>
    </xf>
    <xf numFmtId="4" fontId="5" fillId="0" borderId="48" xfId="0" applyNumberFormat="1" applyFont="1" applyBorder="1" applyAlignment="1">
      <alignment horizontal="center"/>
    </xf>
    <xf numFmtId="4" fontId="5" fillId="0" borderId="49" xfId="0" applyNumberFormat="1" applyFont="1" applyBorder="1" applyAlignment="1">
      <alignment horizontal="center"/>
    </xf>
    <xf numFmtId="183" fontId="5" fillId="0" borderId="9" xfId="0" applyNumberFormat="1" applyFont="1" applyBorder="1" applyAlignment="1">
      <alignment horizontal="center"/>
    </xf>
    <xf numFmtId="182" fontId="7" fillId="0" borderId="11" xfId="0" applyNumberFormat="1" applyFont="1" applyBorder="1" applyAlignment="1">
      <alignment horizontal="center"/>
    </xf>
    <xf numFmtId="3" fontId="5" fillId="0" borderId="47" xfId="0" applyNumberFormat="1" applyFont="1" applyBorder="1" applyAlignment="1">
      <alignment horizontal="center"/>
    </xf>
    <xf numFmtId="168" fontId="1" fillId="0" borderId="49" xfId="0" applyNumberFormat="1" applyFont="1" applyBorder="1" applyAlignment="1">
      <alignment horizontal="center"/>
    </xf>
    <xf numFmtId="0" fontId="5" fillId="0" borderId="59" xfId="0" applyFont="1" applyBorder="1"/>
    <xf numFmtId="0" fontId="2" fillId="12" borderId="54" xfId="0" applyFont="1" applyFill="1" applyBorder="1" applyAlignment="1">
      <alignment horizontal="center"/>
    </xf>
    <xf numFmtId="10" fontId="2" fillId="12" borderId="63" xfId="0" applyNumberFormat="1" applyFont="1" applyFill="1" applyBorder="1" applyAlignment="1">
      <alignment horizontal="center"/>
    </xf>
    <xf numFmtId="3" fontId="8" fillId="4" borderId="13" xfId="0" quotePrefix="1" applyNumberFormat="1" applyFont="1" applyFill="1" applyBorder="1" applyAlignment="1">
      <alignment horizontal="right"/>
    </xf>
    <xf numFmtId="3" fontId="11" fillId="13" borderId="13" xfId="0" applyNumberFormat="1" applyFont="1" applyFill="1" applyBorder="1" applyAlignment="1">
      <alignment horizontal="right"/>
    </xf>
    <xf numFmtId="3" fontId="8" fillId="4" borderId="13" xfId="0" applyNumberFormat="1" applyFont="1" applyFill="1" applyBorder="1" applyAlignment="1">
      <alignment horizontal="right"/>
    </xf>
    <xf numFmtId="0" fontId="30" fillId="0" borderId="33" xfId="0" applyFont="1" applyBorder="1" applyAlignment="1">
      <alignment horizontal="right" wrapText="1"/>
    </xf>
    <xf numFmtId="184" fontId="2" fillId="13" borderId="17" xfId="0" applyNumberFormat="1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0" fontId="20" fillId="0" borderId="64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13" borderId="17" xfId="0" applyNumberFormat="1" applyFont="1" applyFill="1" applyBorder="1" applyAlignment="1">
      <alignment horizontal="center"/>
    </xf>
    <xf numFmtId="10" fontId="7" fillId="0" borderId="60" xfId="0" applyNumberFormat="1" applyFont="1" applyBorder="1" applyAlignment="1">
      <alignment horizontal="center"/>
    </xf>
    <xf numFmtId="3" fontId="2" fillId="12" borderId="27" xfId="0" applyNumberFormat="1" applyFont="1" applyFill="1" applyBorder="1" applyAlignment="1">
      <alignment horizontal="center"/>
    </xf>
    <xf numFmtId="0" fontId="2" fillId="13" borderId="20" xfId="0" applyFont="1" applyFill="1" applyBorder="1" applyAlignment="1">
      <alignment horizontal="left" vertical="center" wrapText="1"/>
    </xf>
    <xf numFmtId="0" fontId="7" fillId="12" borderId="20" xfId="0" applyFont="1" applyFill="1" applyBorder="1"/>
    <xf numFmtId="164" fontId="3" fillId="0" borderId="50" xfId="0" applyNumberFormat="1" applyFont="1" applyBorder="1" applyAlignment="1">
      <alignment horizontal="center"/>
    </xf>
    <xf numFmtId="164" fontId="3" fillId="0" borderId="51" xfId="0" applyNumberFormat="1" applyFont="1" applyBorder="1" applyAlignment="1">
      <alignment horizontal="center"/>
    </xf>
    <xf numFmtId="14" fontId="2" fillId="13" borderId="28" xfId="0" applyNumberFormat="1" applyFont="1" applyFill="1" applyBorder="1" applyAlignment="1">
      <alignment horizontal="center"/>
    </xf>
    <xf numFmtId="14" fontId="2" fillId="13" borderId="35" xfId="0" applyNumberFormat="1" applyFont="1" applyFill="1" applyBorder="1" applyAlignment="1">
      <alignment horizontal="center"/>
    </xf>
    <xf numFmtId="172" fontId="1" fillId="0" borderId="21" xfId="0" applyNumberFormat="1" applyFont="1" applyBorder="1" applyAlignment="1">
      <alignment horizontal="center"/>
    </xf>
    <xf numFmtId="172" fontId="1" fillId="0" borderId="22" xfId="0" applyNumberFormat="1" applyFont="1" applyBorder="1" applyAlignment="1">
      <alignment horizontal="center"/>
    </xf>
    <xf numFmtId="3" fontId="2" fillId="13" borderId="21" xfId="0" applyNumberFormat="1" applyFont="1" applyFill="1" applyBorder="1" applyAlignment="1">
      <alignment horizontal="center"/>
    </xf>
    <xf numFmtId="3" fontId="2" fillId="13" borderId="22" xfId="0" applyNumberFormat="1" applyFont="1" applyFill="1" applyBorder="1" applyAlignment="1">
      <alignment horizontal="center"/>
    </xf>
    <xf numFmtId="0" fontId="1" fillId="17" borderId="13" xfId="0" applyFont="1" applyFill="1" applyBorder="1"/>
    <xf numFmtId="0" fontId="1" fillId="17" borderId="20" xfId="0" applyFont="1" applyFill="1" applyBorder="1"/>
    <xf numFmtId="0" fontId="3" fillId="0" borderId="2" xfId="0" applyFont="1" applyBorder="1" applyAlignment="1">
      <alignment horizontal="center"/>
    </xf>
    <xf numFmtId="0" fontId="5" fillId="0" borderId="2" xfId="0" applyFont="1" applyBorder="1"/>
    <xf numFmtId="49" fontId="2" fillId="13" borderId="9" xfId="0" applyNumberFormat="1" applyFont="1" applyFill="1" applyBorder="1" applyAlignment="1">
      <alignment horizontal="center"/>
    </xf>
    <xf numFmtId="0" fontId="7" fillId="12" borderId="9" xfId="0" applyFont="1" applyFill="1" applyBorder="1"/>
    <xf numFmtId="0" fontId="2" fillId="13" borderId="16" xfId="0" applyFont="1" applyFill="1" applyBorder="1" applyAlignment="1">
      <alignment horizontal="center"/>
    </xf>
    <xf numFmtId="0" fontId="7" fillId="12" borderId="16" xfId="0" applyFont="1" applyFill="1" applyBorder="1"/>
    <xf numFmtId="166" fontId="2" fillId="13" borderId="16" xfId="0" applyNumberFormat="1" applyFont="1" applyFill="1" applyBorder="1" applyAlignment="1">
      <alignment horizontal="center"/>
    </xf>
    <xf numFmtId="14" fontId="2" fillId="13" borderId="17" xfId="0" applyNumberFormat="1" applyFont="1" applyFill="1" applyBorder="1" applyAlignment="1">
      <alignment horizontal="center"/>
    </xf>
    <xf numFmtId="14" fontId="7" fillId="12" borderId="17" xfId="0" applyNumberFormat="1" applyFont="1" applyFill="1" applyBorder="1"/>
    <xf numFmtId="166" fontId="2" fillId="13" borderId="20" xfId="0" applyNumberFormat="1" applyFont="1" applyFill="1" applyBorder="1" applyAlignment="1">
      <alignment horizontal="center"/>
    </xf>
    <xf numFmtId="0" fontId="13" fillId="13" borderId="14" xfId="0" applyFont="1" applyFill="1" applyBorder="1" applyAlignment="1">
      <alignment horizontal="center" vertical="center"/>
    </xf>
    <xf numFmtId="0" fontId="13" fillId="13" borderId="9" xfId="0" applyFont="1" applyFill="1" applyBorder="1" applyAlignment="1">
      <alignment horizontal="center" vertical="center"/>
    </xf>
    <xf numFmtId="0" fontId="13" fillId="13" borderId="15" xfId="0" applyFont="1" applyFill="1" applyBorder="1" applyAlignment="1">
      <alignment horizontal="center" vertical="center"/>
    </xf>
    <xf numFmtId="0" fontId="2" fillId="13" borderId="43" xfId="0" applyFont="1" applyFill="1" applyBorder="1" applyAlignment="1">
      <alignment horizontal="center"/>
    </xf>
    <xf numFmtId="0" fontId="2" fillId="13" borderId="44" xfId="0" applyFont="1" applyFill="1" applyBorder="1" applyAlignment="1">
      <alignment horizontal="center"/>
    </xf>
    <xf numFmtId="167" fontId="5" fillId="0" borderId="52" xfId="0" applyNumberFormat="1" applyFont="1" applyBorder="1" applyAlignment="1">
      <alignment horizontal="center"/>
    </xf>
    <xf numFmtId="167" fontId="5" fillId="0" borderId="53" xfId="0" applyNumberFormat="1" applyFont="1" applyBorder="1" applyAlignment="1">
      <alignment horizontal="center"/>
    </xf>
    <xf numFmtId="10" fontId="2" fillId="12" borderId="61" xfId="0" applyNumberFormat="1" applyFont="1" applyFill="1" applyBorder="1" applyAlignment="1">
      <alignment horizontal="center"/>
    </xf>
    <xf numFmtId="10" fontId="2" fillId="12" borderId="62" xfId="0" applyNumberFormat="1" applyFont="1" applyFill="1" applyBorder="1" applyAlignment="1">
      <alignment horizontal="center"/>
    </xf>
    <xf numFmtId="0" fontId="2" fillId="13" borderId="28" xfId="0" applyFont="1" applyFill="1" applyBorder="1" applyAlignment="1">
      <alignment horizontal="center"/>
    </xf>
    <xf numFmtId="0" fontId="2" fillId="13" borderId="35" xfId="0" applyFont="1" applyFill="1" applyBorder="1" applyAlignment="1">
      <alignment horizontal="center"/>
    </xf>
    <xf numFmtId="0" fontId="2" fillId="13" borderId="13" xfId="0" applyFont="1" applyFill="1" applyBorder="1" applyAlignment="1">
      <alignment horizontal="left" vertical="center" wrapText="1"/>
    </xf>
    <xf numFmtId="0" fontId="7" fillId="12" borderId="13" xfId="0" applyFont="1" applyFill="1" applyBorder="1"/>
    <xf numFmtId="170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0" fontId="3" fillId="0" borderId="27" xfId="0" applyFont="1" applyBorder="1" applyAlignment="1">
      <alignment horizontal="center"/>
    </xf>
    <xf numFmtId="0" fontId="1" fillId="17" borderId="9" xfId="0" applyFont="1" applyFill="1" applyBorder="1"/>
    <xf numFmtId="0" fontId="7" fillId="17" borderId="9" xfId="0" applyFont="1" applyFill="1" applyBorder="1"/>
    <xf numFmtId="0" fontId="1" fillId="17" borderId="2" xfId="0" applyFont="1" applyFill="1" applyBorder="1"/>
    <xf numFmtId="0" fontId="7" fillId="17" borderId="2" xfId="0" applyFont="1" applyFill="1" applyBorder="1"/>
    <xf numFmtId="173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164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164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165" fontId="3" fillId="0" borderId="13" xfId="0" applyNumberFormat="1" applyFont="1" applyBorder="1" applyAlignment="1">
      <alignment horizontal="center"/>
    </xf>
    <xf numFmtId="165" fontId="4" fillId="13" borderId="13" xfId="0" applyNumberFormat="1" applyFont="1" applyFill="1" applyBorder="1" applyAlignment="1">
      <alignment horizontal="center"/>
    </xf>
    <xf numFmtId="3" fontId="2" fillId="13" borderId="13" xfId="0" applyNumberFormat="1" applyFont="1" applyFill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171" fontId="1" fillId="0" borderId="13" xfId="0" applyNumberFormat="1" applyFont="1" applyBorder="1" applyAlignment="1">
      <alignment horizontal="center"/>
    </xf>
    <xf numFmtId="179" fontId="1" fillId="0" borderId="13" xfId="0" applyNumberFormat="1" applyFont="1" applyBorder="1" applyAlignment="1">
      <alignment horizontal="center"/>
    </xf>
    <xf numFmtId="165" fontId="4" fillId="13" borderId="21" xfId="0" applyNumberFormat="1" applyFont="1" applyFill="1" applyBorder="1" applyAlignment="1">
      <alignment horizontal="center"/>
    </xf>
    <xf numFmtId="165" fontId="4" fillId="13" borderId="22" xfId="0" applyNumberFormat="1" applyFont="1" applyFill="1" applyBorder="1" applyAlignment="1">
      <alignment horizontal="center"/>
    </xf>
    <xf numFmtId="173" fontId="1" fillId="0" borderId="29" xfId="0" applyNumberFormat="1" applyFont="1" applyBorder="1" applyAlignment="1">
      <alignment horizontal="center"/>
    </xf>
    <xf numFmtId="173" fontId="1" fillId="0" borderId="30" xfId="0" applyNumberFormat="1" applyFont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175" fontId="1" fillId="3" borderId="1" xfId="0" applyNumberFormat="1" applyFont="1" applyFill="1" applyBorder="1" applyAlignment="1">
      <alignment horizontal="center"/>
    </xf>
    <xf numFmtId="0" fontId="7" fillId="0" borderId="1" xfId="0" applyFont="1" applyBorder="1"/>
    <xf numFmtId="2" fontId="19" fillId="2" borderId="9" xfId="0" applyNumberFormat="1" applyFont="1" applyFill="1" applyBorder="1" applyAlignment="1">
      <alignment horizontal="center"/>
    </xf>
    <xf numFmtId="0" fontId="7" fillId="0" borderId="9" xfId="0" applyFont="1" applyBorder="1"/>
    <xf numFmtId="10" fontId="2" fillId="13" borderId="13" xfId="0" applyNumberFormat="1" applyFont="1" applyFill="1" applyBorder="1" applyAlignment="1">
      <alignment horizontal="center"/>
    </xf>
    <xf numFmtId="10" fontId="7" fillId="12" borderId="13" xfId="0" applyNumberFormat="1" applyFont="1" applyFill="1" applyBorder="1"/>
    <xf numFmtId="0" fontId="7" fillId="0" borderId="13" xfId="0" applyFont="1" applyBorder="1"/>
    <xf numFmtId="0" fontId="14" fillId="0" borderId="2" xfId="0" applyFont="1" applyBorder="1"/>
    <xf numFmtId="0" fontId="5" fillId="0" borderId="9" xfId="0" applyFont="1" applyBorder="1"/>
    <xf numFmtId="3" fontId="2" fillId="12" borderId="13" xfId="0" applyNumberFormat="1" applyFont="1" applyFill="1" applyBorder="1" applyAlignment="1">
      <alignment horizontal="center"/>
    </xf>
    <xf numFmtId="3" fontId="1" fillId="18" borderId="13" xfId="0" applyNumberFormat="1" applyFont="1" applyFill="1" applyBorder="1" applyAlignment="1">
      <alignment horizontal="center"/>
    </xf>
    <xf numFmtId="3" fontId="1" fillId="18" borderId="21" xfId="0" applyNumberFormat="1" applyFont="1" applyFill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9" xfId="0" applyFont="1" applyBorder="1" applyAlignment="1">
      <alignment horizontal="center"/>
    </xf>
    <xf numFmtId="4" fontId="5" fillId="0" borderId="56" xfId="0" applyNumberFormat="1" applyFont="1" applyBorder="1" applyAlignment="1">
      <alignment horizontal="center" vertical="center"/>
    </xf>
    <xf numFmtId="4" fontId="5" fillId="0" borderId="57" xfId="0" applyNumberFormat="1" applyFont="1" applyBorder="1" applyAlignment="1">
      <alignment horizontal="center" vertical="center"/>
    </xf>
    <xf numFmtId="4" fontId="5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12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0000FF"/>
      <color rgb="FFFFFFCC"/>
      <color rgb="FFCCFF33"/>
      <color rgb="FFB6D7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89"/>
  <sheetViews>
    <sheetView showGridLines="0" tabSelected="1" zoomScale="134" workbookViewId="0">
      <selection activeCell="B19" sqref="B19"/>
    </sheetView>
  </sheetViews>
  <sheetFormatPr baseColWidth="10" defaultColWidth="12.5" defaultRowHeight="15" customHeight="1" x14ac:dyDescent="0.15"/>
  <cols>
    <col min="1" max="1" width="2.5" style="3" customWidth="1"/>
    <col min="2" max="2" width="28.33203125" style="3" customWidth="1"/>
    <col min="3" max="10" width="14.83203125" style="3" customWidth="1"/>
    <col min="11" max="16384" width="12.5" style="3"/>
  </cols>
  <sheetData>
    <row r="1" spans="1:13" ht="15" customHeight="1" x14ac:dyDescent="0.15">
      <c r="B1" s="6"/>
      <c r="C1" s="6"/>
      <c r="D1" s="6"/>
      <c r="E1" s="6"/>
      <c r="F1" s="6"/>
      <c r="G1" s="6"/>
      <c r="H1" s="6"/>
      <c r="I1" s="6"/>
      <c r="J1" s="6"/>
    </row>
    <row r="2" spans="1:13" ht="15.75" customHeight="1" x14ac:dyDescent="0.2">
      <c r="A2" s="10"/>
      <c r="B2" s="11" t="s">
        <v>0</v>
      </c>
      <c r="C2" s="311" t="str">
        <f>C3&amp;" : "&amp;C4</f>
        <v>6601.HK : CHEERWIN GP</v>
      </c>
      <c r="D2" s="312"/>
      <c r="E2" s="12"/>
      <c r="F2" s="12"/>
      <c r="G2" s="12"/>
      <c r="H2" s="12"/>
      <c r="I2" s="12"/>
      <c r="J2" s="12"/>
      <c r="K2" s="6"/>
    </row>
    <row r="3" spans="1:13" ht="15.75" customHeight="1" x14ac:dyDescent="0.15">
      <c r="B3" s="16" t="s">
        <v>1</v>
      </c>
      <c r="C3" s="313" t="s">
        <v>338</v>
      </c>
      <c r="D3" s="314"/>
      <c r="E3" s="15"/>
      <c r="G3" s="7" t="s">
        <v>2</v>
      </c>
      <c r="I3" s="324" t="s">
        <v>340</v>
      </c>
      <c r="J3" s="325"/>
    </row>
    <row r="4" spans="1:13" ht="15.75" customHeight="1" x14ac:dyDescent="0.15">
      <c r="B4" s="5" t="s">
        <v>3</v>
      </c>
      <c r="C4" s="315" t="s">
        <v>339</v>
      </c>
      <c r="D4" s="316"/>
      <c r="E4" s="6"/>
      <c r="G4" s="5" t="s">
        <v>4</v>
      </c>
      <c r="I4" s="38">
        <v>2</v>
      </c>
      <c r="J4" s="39" t="s">
        <v>5</v>
      </c>
    </row>
    <row r="5" spans="1:13" ht="15.75" customHeight="1" x14ac:dyDescent="0.15">
      <c r="B5" s="5" t="s">
        <v>6</v>
      </c>
      <c r="C5" s="317">
        <v>44931</v>
      </c>
      <c r="D5" s="316"/>
      <c r="E5" s="242" t="str">
        <f ca="1">IF(C5+30&gt;=TODAY(),"Patience Premium","")</f>
        <v>Patience Premium</v>
      </c>
      <c r="G5" s="5" t="s">
        <v>7</v>
      </c>
      <c r="I5" s="307">
        <v>1333330048</v>
      </c>
      <c r="J5" s="308"/>
    </row>
    <row r="6" spans="1:13" ht="15.75" customHeight="1" x14ac:dyDescent="0.15">
      <c r="B6" s="12" t="s">
        <v>8</v>
      </c>
      <c r="C6" s="320">
        <v>45001</v>
      </c>
      <c r="D6" s="300"/>
      <c r="E6" s="242"/>
      <c r="G6" s="271" t="s">
        <v>9</v>
      </c>
      <c r="H6" s="270"/>
      <c r="I6" s="326">
        <f>I4*I5/1000000</f>
        <v>2666.6600960000001</v>
      </c>
      <c r="J6" s="327"/>
    </row>
    <row r="7" spans="1:13" ht="15.75" customHeight="1" x14ac:dyDescent="0.15">
      <c r="B7" s="285" t="s">
        <v>346</v>
      </c>
      <c r="C7" s="297">
        <f>(Data!C41/Common_Shares*1000)/I4</f>
        <v>2.2000179208441571E-2</v>
      </c>
      <c r="D7" s="297">
        <f>(Data!C42/Common_Shares*1000)/I4</f>
        <v>0</v>
      </c>
      <c r="F7" s="6"/>
    </row>
    <row r="8" spans="1:13" ht="15.75" customHeight="1" x14ac:dyDescent="0.15">
      <c r="C8" s="192"/>
      <c r="E8" s="6"/>
      <c r="G8" s="22" t="s">
        <v>11</v>
      </c>
      <c r="H8" s="269"/>
      <c r="I8" s="6"/>
      <c r="J8" s="6"/>
    </row>
    <row r="9" spans="1:13" ht="15.75" customHeight="1" x14ac:dyDescent="0.15">
      <c r="B9" s="22" t="s">
        <v>10</v>
      </c>
      <c r="D9" s="12"/>
      <c r="E9" s="5"/>
      <c r="G9" s="5" t="s">
        <v>13</v>
      </c>
      <c r="I9" s="241">
        <f>IF(Data!F3&lt;=0,"NNI",I4/((Data!F3*I12)/(I5/Data!C4)))</f>
        <v>25.50402704074126</v>
      </c>
      <c r="J9" s="62">
        <f>IF(I9="NNI","NNI",1/I9)</f>
        <v>3.9209494187037827E-2</v>
      </c>
    </row>
    <row r="10" spans="1:13" ht="15.75" customHeight="1" x14ac:dyDescent="0.15">
      <c r="B10" s="19" t="s">
        <v>12</v>
      </c>
      <c r="C10" s="247" t="s">
        <v>17</v>
      </c>
      <c r="D10" s="246">
        <v>2.9100000000000001E-2</v>
      </c>
      <c r="E10" s="5"/>
      <c r="G10" s="5" t="s">
        <v>14</v>
      </c>
      <c r="I10" s="284">
        <f>I4/(Data!C28*I12*Data!C4/Common_Shares)</f>
        <v>0.83736279942407965</v>
      </c>
      <c r="J10" s="261">
        <f>IF('Asset Model'!D53/'FCF Model'!C16&lt;0,"Negative EV",'Asset Model'!D53/'FCF Model'!C16)</f>
        <v>3.6187969891397924</v>
      </c>
    </row>
    <row r="11" spans="1:13" ht="15.75" customHeight="1" x14ac:dyDescent="0.15">
      <c r="B11" s="19" t="s">
        <v>348</v>
      </c>
      <c r="C11" s="328">
        <v>4.4999999999999998E-2</v>
      </c>
      <c r="D11" s="329"/>
      <c r="E11" s="13"/>
      <c r="G11" s="5" t="s">
        <v>15</v>
      </c>
      <c r="H11" s="6"/>
      <c r="I11" s="330" t="s">
        <v>341</v>
      </c>
      <c r="J11" s="331"/>
    </row>
    <row r="12" spans="1:13" ht="15.75" customHeight="1" x14ac:dyDescent="0.15">
      <c r="B12" s="132" t="s">
        <v>16</v>
      </c>
      <c r="C12" s="286" t="s">
        <v>17</v>
      </c>
      <c r="D12" s="287">
        <v>7.6999999999999999E-2</v>
      </c>
      <c r="E12" s="5"/>
      <c r="G12" s="271" t="s">
        <v>18</v>
      </c>
      <c r="H12" s="270"/>
      <c r="I12" s="272">
        <v>1.1353565801192027</v>
      </c>
      <c r="J12" s="273" t="str">
        <f>IF(I11=Dashboard!J4,J4,I11&amp;"/"&amp;Dashboard!J4)</f>
        <v>CNY/HKD</v>
      </c>
    </row>
    <row r="13" spans="1:13" ht="15.75" customHeight="1" x14ac:dyDescent="0.15"/>
    <row r="14" spans="1:13" ht="15.75" customHeight="1" x14ac:dyDescent="0.15">
      <c r="A14" s="10"/>
      <c r="B14" s="21" t="s">
        <v>20</v>
      </c>
      <c r="C14" s="274" t="s">
        <v>21</v>
      </c>
      <c r="D14" s="275">
        <f>'Asset Model'!D6</f>
        <v>2.0230326562603089</v>
      </c>
      <c r="E14" s="270"/>
      <c r="F14" s="270"/>
      <c r="G14" s="276"/>
      <c r="H14" s="270"/>
      <c r="I14" s="270"/>
      <c r="J14" s="270"/>
      <c r="L14" s="6"/>
      <c r="M14" s="6"/>
    </row>
    <row r="15" spans="1:13" ht="15.75" customHeight="1" x14ac:dyDescent="0.15">
      <c r="A15" s="6"/>
      <c r="B15" s="192"/>
      <c r="C15" s="167" t="s">
        <v>22</v>
      </c>
      <c r="D15" s="167" t="s">
        <v>23</v>
      </c>
      <c r="E15" s="252" t="s">
        <v>24</v>
      </c>
      <c r="F15" s="98" t="s">
        <v>25</v>
      </c>
      <c r="G15" s="167" t="s">
        <v>26</v>
      </c>
      <c r="H15" s="167" t="s">
        <v>27</v>
      </c>
      <c r="I15" s="182" t="s">
        <v>28</v>
      </c>
      <c r="J15" s="182" t="s">
        <v>29</v>
      </c>
    </row>
    <row r="16" spans="1:13" ht="15.75" customHeight="1" x14ac:dyDescent="0.15">
      <c r="B16" s="268">
        <f>I4</f>
        <v>2</v>
      </c>
      <c r="C16" s="259">
        <f>I9</f>
        <v>25.50402704074126</v>
      </c>
      <c r="D16" s="259">
        <f>I10</f>
        <v>0.83736279942407965</v>
      </c>
      <c r="E16" s="256">
        <f>IF(D$14&lt;=0, 1+(-B16/D$14), B16/D$14-1)</f>
        <v>-1.1385212289595992E-2</v>
      </c>
      <c r="F16" s="256">
        <f ca="1">AVERAGE((1-'Qualitative Analysis'!E7),(1-'Qualitative Analysis'!E13),E16)+IF(C5+30&gt;=TODAY(),20%,0)</f>
        <v>0.3906493736812458</v>
      </c>
      <c r="G16" s="256">
        <f>'FCF Model'!G60</f>
        <v>0.59704902500337886</v>
      </c>
      <c r="H16" s="256">
        <f ca="1">$C$11*(1+F16)</f>
        <v>6.2579221815656061E-2</v>
      </c>
      <c r="I16" s="264">
        <f ca="1">G16-H16</f>
        <v>0.53446980318772286</v>
      </c>
      <c r="J16" s="267">
        <f>$C$7/B16</f>
        <v>1.1000089604220786E-2</v>
      </c>
    </row>
    <row r="17" spans="1:11" ht="15.75" customHeight="1" x14ac:dyDescent="0.15">
      <c r="B17" s="262">
        <f>'FCF Model'!C60</f>
        <v>2.4586240566762254</v>
      </c>
      <c r="C17" s="260">
        <f>'FCF Model'!E60</f>
        <v>31.352407212243712</v>
      </c>
      <c r="D17" s="260">
        <f>'FCF Model'!F60</f>
        <v>1.0293801614148956</v>
      </c>
      <c r="E17" s="255">
        <f>IF(D$14&lt;=0, 1+(-B17/D$14), B17/D$14-1)</f>
        <v>0.21531604992532949</v>
      </c>
      <c r="F17" s="254">
        <f ca="1">AVERAGE((1-'Qualitative Analysis'!E7),(1-'Qualitative Analysis'!E13),E17)+IF(C5+30&gt;=TODAY(),20%,0)</f>
        <v>0.46621646108622095</v>
      </c>
      <c r="G17" s="255">
        <f>'FCF Model'!E67</f>
        <v>7.6999999999942226E-2</v>
      </c>
      <c r="H17" s="255">
        <f ca="1">$C$11*(1+F17)</f>
        <v>6.5979740748879939E-2</v>
      </c>
      <c r="I17" s="265">
        <f ca="1">G17-H17</f>
        <v>1.1020259251062287E-2</v>
      </c>
      <c r="J17" s="254">
        <f>$C$7/B17</f>
        <v>8.9481672273976128E-3</v>
      </c>
    </row>
    <row r="18" spans="1:11" ht="15.75" customHeight="1" x14ac:dyDescent="0.15">
      <c r="B18" s="263">
        <v>1.78</v>
      </c>
      <c r="C18" s="261">
        <f>IF(Data!F3&lt;=0,"NNI",B18/((Data!F3*I12)/(I5/Data!C4)))</f>
        <v>22.698584066259723</v>
      </c>
      <c r="D18" s="261">
        <f>B18/(Data!C28*I12*Data!C4/Common_Shares)</f>
        <v>0.7452528914874309</v>
      </c>
      <c r="E18" s="258">
        <f>IF(D$14&lt;=0, 1+(-B18/D$14), B18/D$14-1)</f>
        <v>-0.1201328389377404</v>
      </c>
      <c r="F18" s="257">
        <f ca="1">AVERAGE((1-'Qualitative Analysis'!E7),(1-'Qualitative Analysis'!E13),E18)+IF(C5+30&gt;=TODAY(),20%,0)</f>
        <v>0.35440016479853098</v>
      </c>
      <c r="G18" s="258">
        <f>'FCF Model'!E68</f>
        <v>5.5520989824383253</v>
      </c>
      <c r="H18" s="258">
        <f ca="1">$C$11*(1+F18)</f>
        <v>6.094800741593389E-2</v>
      </c>
      <c r="I18" s="266">
        <f ca="1">G18-H18</f>
        <v>5.491150975022391</v>
      </c>
      <c r="J18" s="257">
        <f>$C$7/B18</f>
        <v>1.2359651240697512E-2</v>
      </c>
    </row>
    <row r="19" spans="1:11" ht="15.75" customHeight="1" x14ac:dyDescent="0.15">
      <c r="K19" s="6"/>
    </row>
    <row r="20" spans="1:11" ht="15.75" customHeight="1" x14ac:dyDescent="0.15">
      <c r="A20" s="4"/>
      <c r="B20" s="21" t="s">
        <v>30</v>
      </c>
      <c r="C20" s="8"/>
      <c r="D20" s="12"/>
      <c r="E20" s="12"/>
      <c r="F20" s="12"/>
      <c r="G20" s="12"/>
      <c r="H20" s="12"/>
      <c r="I20" s="12"/>
      <c r="J20" s="12"/>
    </row>
    <row r="21" spans="1:11" ht="15.75" customHeight="1" x14ac:dyDescent="0.15">
      <c r="A21" s="6"/>
      <c r="B21" s="25" t="s">
        <v>31</v>
      </c>
      <c r="C21" s="321"/>
      <c r="D21" s="322"/>
      <c r="E21" s="322"/>
      <c r="F21" s="322"/>
      <c r="G21" s="322"/>
      <c r="H21" s="322"/>
      <c r="I21" s="322"/>
      <c r="J21" s="323"/>
      <c r="K21" s="6"/>
    </row>
    <row r="22" spans="1:11" ht="52.5" customHeight="1" x14ac:dyDescent="0.15">
      <c r="A22" s="6"/>
      <c r="B22" s="25" t="s">
        <v>32</v>
      </c>
      <c r="C22" s="332"/>
      <c r="D22" s="333"/>
      <c r="E22" s="333"/>
      <c r="F22" s="333"/>
      <c r="G22" s="332"/>
      <c r="H22" s="332"/>
      <c r="I22" s="333"/>
      <c r="J22" s="333"/>
      <c r="K22" s="6"/>
    </row>
    <row r="23" spans="1:11" ht="52.5" customHeight="1" x14ac:dyDescent="0.15">
      <c r="A23" s="6"/>
      <c r="B23" s="26" t="s">
        <v>33</v>
      </c>
      <c r="C23" s="299"/>
      <c r="D23" s="300"/>
      <c r="E23" s="300"/>
      <c r="F23" s="300"/>
      <c r="G23" s="299"/>
      <c r="H23" s="299"/>
      <c r="I23" s="300"/>
      <c r="J23" s="300"/>
      <c r="K23" s="6"/>
    </row>
    <row r="24" spans="1:11" ht="15.75" customHeight="1" x14ac:dyDescent="0.15">
      <c r="B24" s="6"/>
      <c r="C24" s="6"/>
      <c r="D24" s="6"/>
      <c r="E24" s="6"/>
      <c r="F24" s="9"/>
      <c r="G24" s="6"/>
      <c r="H24" s="6"/>
      <c r="I24" s="6"/>
      <c r="J24" s="6"/>
    </row>
    <row r="25" spans="1:11" ht="15.75" customHeight="1" x14ac:dyDescent="0.15">
      <c r="A25" s="4"/>
      <c r="B25" s="21" t="s">
        <v>34</v>
      </c>
      <c r="C25" s="23" t="s">
        <v>35</v>
      </c>
      <c r="D25" s="40">
        <v>700000</v>
      </c>
      <c r="E25" s="12"/>
      <c r="F25" s="8"/>
      <c r="G25" s="12"/>
      <c r="H25" s="270"/>
      <c r="I25" s="6"/>
      <c r="J25" s="6"/>
    </row>
    <row r="26" spans="1:11" ht="15.75" customHeight="1" x14ac:dyDescent="0.15">
      <c r="B26" s="24" t="s">
        <v>36</v>
      </c>
      <c r="C26" s="318"/>
      <c r="D26" s="319"/>
      <c r="E26" s="318"/>
      <c r="F26" s="319"/>
      <c r="G26" s="303"/>
      <c r="H26" s="304"/>
      <c r="I26" s="336" t="s">
        <v>37</v>
      </c>
      <c r="J26" s="336"/>
      <c r="K26" s="6"/>
    </row>
    <row r="27" spans="1:11" ht="15.75" customHeight="1" x14ac:dyDescent="0.15">
      <c r="B27" s="24" t="s">
        <v>38</v>
      </c>
      <c r="C27" s="334">
        <f>C31/D25</f>
        <v>0</v>
      </c>
      <c r="D27" s="335"/>
      <c r="E27" s="351">
        <f>E31/D25</f>
        <v>0</v>
      </c>
      <c r="F27" s="335"/>
      <c r="G27" s="305">
        <f>G31/D25</f>
        <v>0</v>
      </c>
      <c r="H27" s="306"/>
      <c r="I27" s="352">
        <f>C27+E27+G27</f>
        <v>0</v>
      </c>
      <c r="J27" s="352"/>
      <c r="K27" s="6"/>
    </row>
    <row r="28" spans="1:11" ht="15.75" customHeight="1" x14ac:dyDescent="0.15">
      <c r="B28" s="24" t="s">
        <v>39</v>
      </c>
      <c r="C28" s="349"/>
      <c r="D28" s="333"/>
      <c r="E28" s="349"/>
      <c r="F28" s="333"/>
      <c r="G28" s="307"/>
      <c r="H28" s="308"/>
      <c r="I28" s="350">
        <f>C28+E28+G28</f>
        <v>0</v>
      </c>
      <c r="J28" s="350"/>
      <c r="K28" s="6"/>
    </row>
    <row r="29" spans="1:11" ht="15.75" customHeight="1" x14ac:dyDescent="0.15">
      <c r="B29" s="24" t="s">
        <v>40</v>
      </c>
      <c r="C29" s="348"/>
      <c r="D29" s="333"/>
      <c r="E29" s="348"/>
      <c r="F29" s="333"/>
      <c r="G29" s="353"/>
      <c r="H29" s="354"/>
      <c r="I29" s="309"/>
      <c r="J29" s="309"/>
      <c r="K29" s="6"/>
    </row>
    <row r="30" spans="1:11" ht="15.75" customHeight="1" x14ac:dyDescent="0.15">
      <c r="B30" s="24" t="s">
        <v>41</v>
      </c>
      <c r="C30" s="341">
        <f>C29*$I$5/1000000</f>
        <v>0</v>
      </c>
      <c r="D30" s="342"/>
      <c r="E30" s="341">
        <f>E29*$I$5/1000000</f>
        <v>0</v>
      </c>
      <c r="F30" s="342"/>
      <c r="G30" s="355">
        <f>G29*$I$5/1000000</f>
        <v>0</v>
      </c>
      <c r="H30" s="356"/>
      <c r="I30" s="310"/>
      <c r="J30" s="310"/>
      <c r="K30" s="6"/>
    </row>
    <row r="31" spans="1:11" ht="15.75" customHeight="1" x14ac:dyDescent="0.15">
      <c r="B31" s="2" t="s">
        <v>42</v>
      </c>
      <c r="C31" s="343">
        <f>C28*C29</f>
        <v>0</v>
      </c>
      <c r="D31" s="344"/>
      <c r="E31" s="345">
        <f>E28*E29</f>
        <v>0</v>
      </c>
      <c r="F31" s="346"/>
      <c r="G31" s="301">
        <f>G28*G29</f>
        <v>0</v>
      </c>
      <c r="H31" s="302"/>
      <c r="I31" s="345">
        <f>C31+E31+G31</f>
        <v>0</v>
      </c>
      <c r="J31" s="345"/>
      <c r="K31" s="6"/>
    </row>
    <row r="32" spans="1:11" ht="15.75" customHeight="1" x14ac:dyDescent="0.15">
      <c r="B32" s="1" t="s">
        <v>43</v>
      </c>
      <c r="C32" s="337"/>
      <c r="D32" s="338"/>
      <c r="E32" s="347" t="str">
        <f>IF(C31=0,"-",(C31+E31)/(C28+E28))</f>
        <v>-</v>
      </c>
      <c r="F32" s="335"/>
      <c r="G32" s="234"/>
      <c r="H32" s="234"/>
      <c r="I32" s="347" t="str">
        <f>IF(I31=0,"",I31/I28)</f>
        <v/>
      </c>
      <c r="J32" s="347"/>
      <c r="K32" s="6"/>
    </row>
    <row r="33" spans="2:11" ht="15.75" customHeight="1" x14ac:dyDescent="0.15">
      <c r="B33" s="1" t="s">
        <v>44</v>
      </c>
      <c r="C33" s="339"/>
      <c r="D33" s="340"/>
      <c r="E33" s="341" t="str">
        <f>IF(E32="-","-",E32*$I$5/1000000)</f>
        <v>-</v>
      </c>
      <c r="F33" s="342"/>
      <c r="G33" s="235"/>
      <c r="H33" s="235"/>
      <c r="I33" s="341" t="str">
        <f>IF(I32="","",I32*$I$5/1000000)</f>
        <v/>
      </c>
      <c r="J33" s="341"/>
      <c r="K33" s="6"/>
    </row>
    <row r="34" spans="2:11" ht="15.75" customHeight="1" x14ac:dyDescent="0.15">
      <c r="C34" s="6"/>
      <c r="D34" s="6"/>
      <c r="E34" s="6"/>
      <c r="F34" s="6"/>
      <c r="G34" s="6"/>
      <c r="H34" s="6"/>
      <c r="I34" s="6"/>
      <c r="J34" s="6"/>
      <c r="K34" s="6"/>
    </row>
    <row r="35" spans="2:11" ht="15.75" customHeight="1" x14ac:dyDescent="0.15">
      <c r="I35" s="6"/>
      <c r="J35" s="6"/>
    </row>
    <row r="36" spans="2:11" ht="15.75" customHeight="1" x14ac:dyDescent="0.15"/>
    <row r="37" spans="2:11" ht="15.75" customHeight="1" x14ac:dyDescent="0.15"/>
    <row r="38" spans="2:11" ht="15.75" customHeight="1" x14ac:dyDescent="0.15"/>
    <row r="39" spans="2:11" ht="15.75" customHeight="1" x14ac:dyDescent="0.15"/>
    <row r="40" spans="2:11" ht="15.75" customHeight="1" x14ac:dyDescent="0.15"/>
    <row r="41" spans="2:11" ht="15.75" customHeight="1" x14ac:dyDescent="0.15"/>
    <row r="42" spans="2:11" ht="15.75" customHeight="1" x14ac:dyDescent="0.15"/>
    <row r="43" spans="2:11" ht="15.75" customHeight="1" x14ac:dyDescent="0.15"/>
    <row r="44" spans="2:11" ht="15.75" customHeight="1" x14ac:dyDescent="0.15"/>
    <row r="45" spans="2:11" ht="15.75" customHeight="1" x14ac:dyDescent="0.15"/>
    <row r="46" spans="2:11" ht="15.75" customHeight="1" x14ac:dyDescent="0.15"/>
    <row r="47" spans="2:11" ht="15.75" customHeight="1" x14ac:dyDescent="0.15"/>
    <row r="48" spans="2:11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</sheetData>
  <mergeCells count="45">
    <mergeCell ref="E30:F30"/>
    <mergeCell ref="E28:F28"/>
    <mergeCell ref="E27:F27"/>
    <mergeCell ref="I27:J27"/>
    <mergeCell ref="G29:H29"/>
    <mergeCell ref="G30:H30"/>
    <mergeCell ref="C27:D27"/>
    <mergeCell ref="I26:J26"/>
    <mergeCell ref="C32:D32"/>
    <mergeCell ref="C33:D33"/>
    <mergeCell ref="E33:F33"/>
    <mergeCell ref="C31:D31"/>
    <mergeCell ref="E31:F31"/>
    <mergeCell ref="E32:F32"/>
    <mergeCell ref="C29:D29"/>
    <mergeCell ref="C30:D30"/>
    <mergeCell ref="C28:D28"/>
    <mergeCell ref="E29:F29"/>
    <mergeCell ref="I32:J32"/>
    <mergeCell ref="I33:J33"/>
    <mergeCell ref="I31:J31"/>
    <mergeCell ref="I28:J28"/>
    <mergeCell ref="C2:D2"/>
    <mergeCell ref="C3:D3"/>
    <mergeCell ref="C4:D4"/>
    <mergeCell ref="C5:D5"/>
    <mergeCell ref="C26:D26"/>
    <mergeCell ref="C6:D6"/>
    <mergeCell ref="C21:J21"/>
    <mergeCell ref="C23:F23"/>
    <mergeCell ref="I3:J3"/>
    <mergeCell ref="I5:J5"/>
    <mergeCell ref="I6:J6"/>
    <mergeCell ref="C11:D11"/>
    <mergeCell ref="E26:F26"/>
    <mergeCell ref="I11:J11"/>
    <mergeCell ref="C22:F22"/>
    <mergeCell ref="G22:J22"/>
    <mergeCell ref="G23:J23"/>
    <mergeCell ref="G31:H31"/>
    <mergeCell ref="G26:H26"/>
    <mergeCell ref="G27:H27"/>
    <mergeCell ref="G28:H28"/>
    <mergeCell ref="I29:J29"/>
    <mergeCell ref="I30:J30"/>
  </mergeCells>
  <conditionalFormatting sqref="F16">
    <cfRule type="cellIs" dxfId="11" priority="11" operator="lessThan">
      <formula>0</formula>
    </cfRule>
  </conditionalFormatting>
  <conditionalFormatting sqref="C26:G26 I26 C28:G29 I28:I29">
    <cfRule type="containsBlanks" priority="5">
      <formula>LEN(TRIM(C26))=0</formula>
    </cfRule>
  </conditionalFormatting>
  <conditionalFormatting sqref="I16:I18">
    <cfRule type="cellIs" dxfId="10" priority="1" operator="lessThanOrEqual">
      <formula>0</formula>
    </cfRule>
  </conditionalFormatting>
  <dataValidations count="3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 C12" xr:uid="{CA293681-B01E-459F-8C40-5799F5EB5C26}">
      <formula1>"US, CN"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965"/>
  <sheetViews>
    <sheetView showGridLines="0" topLeftCell="A22" zoomScale="150" zoomScaleNormal="150" workbookViewId="0">
      <selection activeCell="B45" sqref="B45"/>
    </sheetView>
  </sheetViews>
  <sheetFormatPr baseColWidth="10" defaultColWidth="12.5" defaultRowHeight="15" customHeight="1" x14ac:dyDescent="0.15"/>
  <cols>
    <col min="1" max="1" width="1.5" style="3" customWidth="1"/>
    <col min="2" max="2" width="26.5" style="3" customWidth="1"/>
    <col min="3" max="13" width="24.6640625" style="3" customWidth="1"/>
    <col min="14" max="16384" width="12.5" style="3"/>
  </cols>
  <sheetData>
    <row r="1" spans="1:14" ht="8.25" customHeight="1" x14ac:dyDescent="0.15">
      <c r="A1" s="42"/>
      <c r="B1" s="43"/>
      <c r="C1" s="44"/>
      <c r="D1" s="44"/>
      <c r="E1" s="44"/>
      <c r="F1" s="44"/>
    </row>
    <row r="2" spans="1:14" ht="15.75" customHeight="1" x14ac:dyDescent="0.2">
      <c r="A2" s="45"/>
      <c r="B2" s="11" t="s">
        <v>45</v>
      </c>
      <c r="C2" s="46"/>
      <c r="D2" s="46"/>
      <c r="E2" s="46"/>
      <c r="F2" s="46"/>
      <c r="G2" s="12"/>
      <c r="H2" s="12"/>
      <c r="I2" s="12"/>
      <c r="J2" s="12"/>
      <c r="K2" s="12"/>
      <c r="L2" s="12"/>
      <c r="M2" s="12"/>
    </row>
    <row r="3" spans="1:14" ht="15.75" customHeight="1" x14ac:dyDescent="0.15">
      <c r="A3" s="9"/>
      <c r="B3" s="5" t="s">
        <v>46</v>
      </c>
      <c r="C3" s="292">
        <v>44561</v>
      </c>
      <c r="D3" s="6"/>
      <c r="E3" s="47">
        <v>1</v>
      </c>
      <c r="F3" s="48">
        <f t="array" ref="F3">AVERAGE(C19:INDEX(C19:M19,1,E3))</f>
        <v>92093</v>
      </c>
      <c r="G3" s="6"/>
      <c r="H3" s="5" t="str">
        <f>"Past "&amp;'FCF Model'!C3&amp;" yrs Revenue CAGR"</f>
        <v>Past 4 yrs Revenue CAGR</v>
      </c>
      <c r="I3" s="6"/>
      <c r="J3" s="49" t="e" cm="1">
        <f t="array" ref="J3">(C7/INDEX(C7:L7,0,'FCF Model'!C3+1))^(1/('FCF Model'!C3))-1</f>
        <v>#DIV/0!</v>
      </c>
      <c r="K3" s="6"/>
      <c r="L3" s="6"/>
      <c r="M3" s="6"/>
    </row>
    <row r="4" spans="1:14" ht="15.75" customHeight="1" x14ac:dyDescent="0.15">
      <c r="A4" s="9"/>
      <c r="B4" s="5" t="s">
        <v>47</v>
      </c>
      <c r="C4" s="41">
        <v>1000</v>
      </c>
      <c r="D4" s="6"/>
      <c r="E4" s="50">
        <f>E3</f>
        <v>1</v>
      </c>
      <c r="F4" s="51">
        <f>AVERAGE(C16:INDEX(C16:M16,1,E4))</f>
        <v>54004.5</v>
      </c>
      <c r="G4" s="6"/>
      <c r="H4" s="3" t="str">
        <f>"Past "&amp;'FCF Model'!C3&amp;" yrs EBIT CAGR"</f>
        <v>Past 4 yrs EBIT CAGR</v>
      </c>
      <c r="I4" s="6"/>
      <c r="J4" s="52" t="str" cm="1">
        <f t="array" ref="J4">IFERROR((C14/INDEX(C14:L14,0,'FCF Model'!C3))^(1/('FCF Model'!C3-1))-1,"NA")</f>
        <v>NA</v>
      </c>
      <c r="K4" s="6"/>
    </row>
    <row r="5" spans="1:14" ht="15.75" customHeight="1" x14ac:dyDescent="0.15">
      <c r="A5" s="9"/>
      <c r="C5" s="6"/>
      <c r="F5" s="6"/>
      <c r="J5" s="6"/>
    </row>
    <row r="6" spans="1:14" ht="15.75" customHeight="1" x14ac:dyDescent="0.15">
      <c r="A6" s="9"/>
      <c r="B6" s="53"/>
      <c r="C6" s="54" t="str">
        <f>"FY "&amp;YEAR($C$3)</f>
        <v>FY 2021</v>
      </c>
      <c r="D6" s="55" t="str">
        <f>"FY "&amp;YEAR($C$3)-1</f>
        <v>FY 2020</v>
      </c>
      <c r="E6" s="55" t="str">
        <f>"FY "&amp;YEAR($C$3)-2</f>
        <v>FY 2019</v>
      </c>
      <c r="F6" s="55" t="str">
        <f>"FY "&amp;YEAR($C$3)-3</f>
        <v>FY 2018</v>
      </c>
      <c r="G6" s="55" t="str">
        <f>"FY "&amp;YEAR($C$3)-4</f>
        <v>FY 2017</v>
      </c>
      <c r="H6" s="55" t="str">
        <f>"FY "&amp;YEAR($C$3)-5</f>
        <v>FY 2016</v>
      </c>
      <c r="I6" s="55" t="str">
        <f>"FY "&amp;YEAR($C$3)-6</f>
        <v>FY 2015</v>
      </c>
      <c r="J6" s="55" t="str">
        <f>"FY "&amp;YEAR($C$3)-7</f>
        <v>FY 2014</v>
      </c>
      <c r="K6" s="55" t="str">
        <f>"FY "&amp;YEAR($C$3)-8</f>
        <v>FY 2013</v>
      </c>
      <c r="L6" s="55" t="str">
        <f>"FY "&amp;YEAR($C$3)-9</f>
        <v>FY 2012</v>
      </c>
      <c r="M6" s="55" t="str">
        <f>"FY "&amp;YEAR($C$3)-10</f>
        <v>FY 2011</v>
      </c>
    </row>
    <row r="7" spans="1:14" ht="15.75" customHeight="1" x14ac:dyDescent="0.15">
      <c r="A7" s="9"/>
      <c r="B7" s="56" t="s">
        <v>48</v>
      </c>
      <c r="C7" s="41">
        <v>1769157</v>
      </c>
      <c r="D7" s="41">
        <v>1702154</v>
      </c>
      <c r="E7" s="41">
        <v>1383402</v>
      </c>
      <c r="F7" s="41"/>
      <c r="G7" s="41"/>
      <c r="H7" s="41"/>
      <c r="I7" s="41"/>
      <c r="J7" s="41"/>
      <c r="K7" s="41"/>
      <c r="L7" s="41"/>
      <c r="M7" s="41"/>
      <c r="N7" s="6"/>
    </row>
    <row r="8" spans="1:14" ht="15.75" customHeight="1" x14ac:dyDescent="0.15">
      <c r="A8" s="9"/>
      <c r="B8" s="57" t="s">
        <v>49</v>
      </c>
      <c r="C8" s="14">
        <f t="shared" ref="C8:L8" si="0">IF(D7="","",C7/D7-1)</f>
        <v>3.9363653347464389E-2</v>
      </c>
      <c r="D8" s="14">
        <f t="shared" si="0"/>
        <v>0.2304116952266948</v>
      </c>
      <c r="E8" s="14" t="str">
        <f t="shared" si="0"/>
        <v/>
      </c>
      <c r="F8" s="14" t="str">
        <f t="shared" si="0"/>
        <v/>
      </c>
      <c r="G8" s="14" t="str">
        <f t="shared" si="0"/>
        <v/>
      </c>
      <c r="H8" s="14" t="str">
        <f t="shared" si="0"/>
        <v/>
      </c>
      <c r="I8" s="14" t="str">
        <f t="shared" si="0"/>
        <v/>
      </c>
      <c r="J8" s="14" t="str">
        <f t="shared" si="0"/>
        <v/>
      </c>
      <c r="K8" s="14" t="str">
        <f t="shared" si="0"/>
        <v/>
      </c>
      <c r="L8" s="14" t="str">
        <f t="shared" si="0"/>
        <v/>
      </c>
      <c r="M8" s="14"/>
      <c r="N8" s="6"/>
    </row>
    <row r="9" spans="1:14" ht="15.75" customHeight="1" x14ac:dyDescent="0.15">
      <c r="A9" s="9"/>
      <c r="B9" s="57" t="s">
        <v>50</v>
      </c>
      <c r="C9" s="41">
        <v>981731</v>
      </c>
      <c r="D9" s="41">
        <v>959572</v>
      </c>
      <c r="E9" s="41">
        <v>783542</v>
      </c>
      <c r="F9" s="41"/>
      <c r="G9" s="41"/>
      <c r="H9" s="41"/>
      <c r="I9" s="41"/>
      <c r="J9" s="41"/>
      <c r="K9" s="41"/>
      <c r="L9" s="41"/>
      <c r="M9" s="41"/>
      <c r="N9" s="6"/>
    </row>
    <row r="10" spans="1:14" ht="15.75" customHeight="1" x14ac:dyDescent="0.15">
      <c r="A10" s="9"/>
      <c r="B10" s="57" t="s">
        <v>51</v>
      </c>
      <c r="C10" s="14">
        <f t="shared" ref="C10:M10" si="1">IF(C7="","",(C7-C9)/C7)</f>
        <v>0.44508542769239812</v>
      </c>
      <c r="D10" s="14">
        <f t="shared" si="1"/>
        <v>0.43626017387380928</v>
      </c>
      <c r="E10" s="14">
        <f t="shared" si="1"/>
        <v>0.43361221105651143</v>
      </c>
      <c r="F10" s="14" t="str">
        <f t="shared" si="1"/>
        <v/>
      </c>
      <c r="G10" s="14" t="str">
        <f t="shared" si="1"/>
        <v/>
      </c>
      <c r="H10" s="14" t="str">
        <f t="shared" si="1"/>
        <v/>
      </c>
      <c r="I10" s="14" t="str">
        <f t="shared" si="1"/>
        <v/>
      </c>
      <c r="J10" s="14" t="str">
        <f t="shared" si="1"/>
        <v/>
      </c>
      <c r="K10" s="14" t="str">
        <f t="shared" si="1"/>
        <v/>
      </c>
      <c r="L10" s="14" t="str">
        <f t="shared" si="1"/>
        <v/>
      </c>
      <c r="M10" s="14" t="str">
        <f t="shared" si="1"/>
        <v/>
      </c>
      <c r="N10" s="6"/>
    </row>
    <row r="11" spans="1:14" ht="15.75" customHeight="1" x14ac:dyDescent="0.15">
      <c r="A11" s="9"/>
      <c r="B11" s="57" t="s">
        <v>52</v>
      </c>
      <c r="C11" s="41">
        <v>715420</v>
      </c>
      <c r="D11" s="41">
        <v>466870</v>
      </c>
      <c r="E11" s="41">
        <v>375859</v>
      </c>
      <c r="F11" s="41"/>
      <c r="G11" s="41"/>
      <c r="H11" s="41"/>
      <c r="I11" s="41"/>
      <c r="J11" s="41"/>
      <c r="K11" s="41"/>
      <c r="L11" s="41"/>
      <c r="M11" s="41"/>
      <c r="N11" s="6"/>
    </row>
    <row r="12" spans="1:14" ht="15.75" customHeight="1" x14ac:dyDescent="0.15">
      <c r="A12" s="9"/>
      <c r="B12" s="57" t="s">
        <v>53</v>
      </c>
      <c r="C12" s="14">
        <f t="shared" ref="C12:M12" si="2">IF(C7="","",C10-C13)</f>
        <v>0.40438468717021719</v>
      </c>
      <c r="D12" s="14">
        <f t="shared" si="2"/>
        <v>0.27428188048789942</v>
      </c>
      <c r="E12" s="14">
        <f t="shared" si="2"/>
        <v>0.27169181481593929</v>
      </c>
      <c r="F12" s="14" t="str">
        <f t="shared" si="2"/>
        <v/>
      </c>
      <c r="G12" s="14" t="str">
        <f t="shared" si="2"/>
        <v/>
      </c>
      <c r="H12" s="14" t="str">
        <f t="shared" si="2"/>
        <v/>
      </c>
      <c r="I12" s="14" t="str">
        <f t="shared" si="2"/>
        <v/>
      </c>
      <c r="J12" s="14" t="str">
        <f t="shared" si="2"/>
        <v/>
      </c>
      <c r="K12" s="14" t="str">
        <f t="shared" si="2"/>
        <v/>
      </c>
      <c r="L12" s="14" t="str">
        <f t="shared" si="2"/>
        <v/>
      </c>
      <c r="M12" s="14" t="str">
        <f t="shared" si="2"/>
        <v/>
      </c>
      <c r="N12" s="6"/>
    </row>
    <row r="13" spans="1:14" ht="15.75" customHeight="1" x14ac:dyDescent="0.15">
      <c r="A13" s="9"/>
      <c r="B13" s="57" t="s">
        <v>54</v>
      </c>
      <c r="C13" s="14">
        <f t="shared" ref="C13:M13" si="3">IF(C14="","",C14/C7)</f>
        <v>4.0700740522180902E-2</v>
      </c>
      <c r="D13" s="14">
        <f t="shared" si="3"/>
        <v>0.16197829338590986</v>
      </c>
      <c r="E13" s="14">
        <f t="shared" si="3"/>
        <v>0.16192039624057217</v>
      </c>
      <c r="F13" s="14" t="str">
        <f t="shared" si="3"/>
        <v/>
      </c>
      <c r="G13" s="14" t="str">
        <f t="shared" si="3"/>
        <v/>
      </c>
      <c r="H13" s="14" t="str">
        <f t="shared" si="3"/>
        <v/>
      </c>
      <c r="I13" s="14" t="str">
        <f t="shared" si="3"/>
        <v/>
      </c>
      <c r="J13" s="14" t="str">
        <f t="shared" si="3"/>
        <v/>
      </c>
      <c r="K13" s="14" t="str">
        <f t="shared" si="3"/>
        <v/>
      </c>
      <c r="L13" s="14" t="str">
        <f t="shared" si="3"/>
        <v/>
      </c>
      <c r="M13" s="14" t="str">
        <f t="shared" si="3"/>
        <v/>
      </c>
      <c r="N13" s="6"/>
    </row>
    <row r="14" spans="1:14" ht="15.75" customHeight="1" x14ac:dyDescent="0.15">
      <c r="A14" s="9"/>
      <c r="B14" s="57" t="s">
        <v>55</v>
      </c>
      <c r="C14" s="31">
        <f t="shared" ref="C14:M14" si="4">IF(C7="","",C7-C9-C11)</f>
        <v>72006</v>
      </c>
      <c r="D14" s="31">
        <f t="shared" si="4"/>
        <v>275712</v>
      </c>
      <c r="E14" s="31">
        <f t="shared" si="4"/>
        <v>224001</v>
      </c>
      <c r="F14" s="31" t="str">
        <f t="shared" si="4"/>
        <v/>
      </c>
      <c r="G14" s="31" t="str">
        <f t="shared" si="4"/>
        <v/>
      </c>
      <c r="H14" s="31" t="str">
        <f t="shared" si="4"/>
        <v/>
      </c>
      <c r="I14" s="31" t="str">
        <f t="shared" si="4"/>
        <v/>
      </c>
      <c r="J14" s="31" t="str">
        <f t="shared" si="4"/>
        <v/>
      </c>
      <c r="K14" s="31" t="str">
        <f t="shared" si="4"/>
        <v/>
      </c>
      <c r="L14" s="31" t="str">
        <f t="shared" si="4"/>
        <v/>
      </c>
      <c r="M14" s="31" t="str">
        <f t="shared" si="4"/>
        <v/>
      </c>
      <c r="N14" s="6"/>
    </row>
    <row r="15" spans="1:14" ht="15.75" customHeight="1" x14ac:dyDescent="0.15">
      <c r="A15" s="9"/>
      <c r="B15" s="57" t="s">
        <v>56</v>
      </c>
      <c r="C15" s="14">
        <f>IF(D14="","",IF(ABS(C14+D14)=ABS(C14)+ABS(D14),IF(C14&lt;0,-1,1)*(C14-D14)/D14,"Turn"))</f>
        <v>-0.73883617688022285</v>
      </c>
      <c r="D15" s="14">
        <f t="shared" ref="D15:M15" si="5">IF(E14="","",IF(ABS(D14+E14)=ABS(D14)+ABS(E14),IF(D14&lt;0,-1,1)*(D14-E14)/E14,"Turn"))</f>
        <v>0.23085164798371435</v>
      </c>
      <c r="E15" s="14" t="str">
        <f t="shared" si="5"/>
        <v/>
      </c>
      <c r="F15" s="14" t="str">
        <f t="shared" si="5"/>
        <v/>
      </c>
      <c r="G15" s="14" t="str">
        <f t="shared" si="5"/>
        <v/>
      </c>
      <c r="H15" s="14" t="str">
        <f t="shared" si="5"/>
        <v/>
      </c>
      <c r="I15" s="14" t="str">
        <f t="shared" si="5"/>
        <v/>
      </c>
      <c r="J15" s="14" t="str">
        <f t="shared" si="5"/>
        <v/>
      </c>
      <c r="K15" s="14" t="str">
        <f t="shared" si="5"/>
        <v/>
      </c>
      <c r="L15" s="14" t="str">
        <f t="shared" si="5"/>
        <v/>
      </c>
      <c r="M15" s="14" t="str">
        <f t="shared" si="5"/>
        <v/>
      </c>
      <c r="N15" s="6"/>
    </row>
    <row r="16" spans="1:14" ht="15.75" customHeight="1" x14ac:dyDescent="0.15">
      <c r="A16" s="9"/>
      <c r="B16" s="57" t="s">
        <v>57</v>
      </c>
      <c r="C16" s="295">
        <f>IF(C14="","",C14*(1-'FCF Model'!$D$17))</f>
        <v>54004.5</v>
      </c>
      <c r="D16" s="295">
        <f>IF(D14="","",D14*(1-'FCF Model'!$D$17))</f>
        <v>206784</v>
      </c>
      <c r="E16" s="295">
        <f>IF(E14="","",E14*(1-'FCF Model'!$D$17))</f>
        <v>168000.75</v>
      </c>
      <c r="F16" s="295" t="str">
        <f>IF(F14="","",F14*(1-'FCF Model'!$D$17))</f>
        <v/>
      </c>
      <c r="G16" s="295" t="str">
        <f>IF(G14="","",G14*(1-'FCF Model'!$D$17))</f>
        <v/>
      </c>
      <c r="H16" s="295" t="str">
        <f>IF(H14="","",H14*(1-'FCF Model'!$D$17))</f>
        <v/>
      </c>
      <c r="I16" s="295" t="str">
        <f>IF(I14="","",I14*(1-'FCF Model'!$D$17))</f>
        <v/>
      </c>
      <c r="J16" s="295" t="str">
        <f>IF(J14="","",J14*(1-'FCF Model'!$D$17))</f>
        <v/>
      </c>
      <c r="K16" s="295" t="str">
        <f>IF(K14="","",K14*(1-'FCF Model'!$D$17))</f>
        <v/>
      </c>
      <c r="L16" s="295" t="str">
        <f>IF(L14="","",L14*(1-'FCF Model'!$D$17))</f>
        <v/>
      </c>
      <c r="M16" s="295" t="str">
        <f>IF(M14="","",M14*(1-'FCF Model'!$D$17))</f>
        <v/>
      </c>
      <c r="N16" s="6"/>
    </row>
    <row r="17" spans="1:14" ht="15.75" customHeight="1" x14ac:dyDescent="0.15">
      <c r="A17" s="9"/>
      <c r="B17" s="294" t="s">
        <v>80</v>
      </c>
      <c r="C17" s="254">
        <f t="shared" ref="C17:M17" si="6">IF(C7="","",C16/C7)</f>
        <v>3.0525555391635678E-2</v>
      </c>
      <c r="D17" s="254">
        <f t="shared" si="6"/>
        <v>0.12148372003943239</v>
      </c>
      <c r="E17" s="254">
        <f t="shared" si="6"/>
        <v>0.12144029718042912</v>
      </c>
      <c r="F17" s="254" t="str">
        <f t="shared" si="6"/>
        <v/>
      </c>
      <c r="G17" s="254" t="str">
        <f t="shared" si="6"/>
        <v/>
      </c>
      <c r="H17" s="254" t="str">
        <f t="shared" si="6"/>
        <v/>
      </c>
      <c r="I17" s="254" t="str">
        <f t="shared" si="6"/>
        <v/>
      </c>
      <c r="J17" s="254" t="str">
        <f t="shared" si="6"/>
        <v/>
      </c>
      <c r="K17" s="254" t="str">
        <f t="shared" si="6"/>
        <v/>
      </c>
      <c r="L17" s="254" t="str">
        <f t="shared" si="6"/>
        <v/>
      </c>
      <c r="M17" s="254" t="str">
        <f t="shared" si="6"/>
        <v/>
      </c>
      <c r="N17" s="6"/>
    </row>
    <row r="18" spans="1:14" ht="15.75" customHeight="1" x14ac:dyDescent="0.15">
      <c r="A18" s="9"/>
      <c r="B18" s="57" t="s">
        <v>58</v>
      </c>
      <c r="C18" s="296">
        <v>1613</v>
      </c>
      <c r="D18" s="296">
        <v>2645</v>
      </c>
      <c r="E18" s="296">
        <v>299</v>
      </c>
      <c r="F18" s="296"/>
      <c r="G18" s="296"/>
      <c r="H18" s="296"/>
      <c r="I18" s="296"/>
      <c r="J18" s="296"/>
      <c r="K18" s="296"/>
      <c r="L18" s="296"/>
      <c r="M18" s="296"/>
      <c r="N18" s="6"/>
    </row>
    <row r="19" spans="1:14" ht="15.75" customHeight="1" x14ac:dyDescent="0.15">
      <c r="A19" s="9"/>
      <c r="B19" s="57" t="s">
        <v>59</v>
      </c>
      <c r="C19" s="41">
        <v>92093</v>
      </c>
      <c r="D19" s="41">
        <v>223781</v>
      </c>
      <c r="E19" s="41">
        <v>185164</v>
      </c>
      <c r="F19" s="41"/>
      <c r="G19" s="41"/>
      <c r="H19" s="41"/>
      <c r="I19" s="41"/>
      <c r="J19" s="41"/>
      <c r="K19" s="41"/>
      <c r="L19" s="41"/>
      <c r="M19" s="41"/>
      <c r="N19" s="6"/>
    </row>
    <row r="20" spans="1:14" ht="15.75" customHeight="1" x14ac:dyDescent="0.15">
      <c r="A20" s="9"/>
      <c r="B20" s="57" t="s">
        <v>60</v>
      </c>
      <c r="C20" s="14">
        <f t="shared" ref="C20:M20" si="7">IF(C7="","",C19/C7)</f>
        <v>5.2054735673543955E-2</v>
      </c>
      <c r="D20" s="14">
        <f t="shared" si="7"/>
        <v>0.13146930301253587</v>
      </c>
      <c r="E20" s="14">
        <f t="shared" si="7"/>
        <v>0.13384685001178254</v>
      </c>
      <c r="F20" s="14" t="str">
        <f t="shared" si="7"/>
        <v/>
      </c>
      <c r="G20" s="14" t="str">
        <f t="shared" si="7"/>
        <v/>
      </c>
      <c r="H20" s="14" t="str">
        <f t="shared" si="7"/>
        <v/>
      </c>
      <c r="I20" s="14" t="str">
        <f t="shared" si="7"/>
        <v/>
      </c>
      <c r="J20" s="14" t="str">
        <f t="shared" si="7"/>
        <v/>
      </c>
      <c r="K20" s="14" t="str">
        <f t="shared" si="7"/>
        <v/>
      </c>
      <c r="L20" s="14" t="str">
        <f t="shared" si="7"/>
        <v/>
      </c>
      <c r="M20" s="14" t="str">
        <f t="shared" si="7"/>
        <v/>
      </c>
      <c r="N20" s="6"/>
    </row>
    <row r="21" spans="1:14" ht="15.75" customHeight="1" x14ac:dyDescent="0.15">
      <c r="A21" s="9"/>
      <c r="B21" s="57" t="s">
        <v>61</v>
      </c>
      <c r="C21" s="58">
        <f>'Asset Model'!C21</f>
        <v>2838788</v>
      </c>
      <c r="D21" s="41">
        <v>1398268</v>
      </c>
      <c r="E21" s="41">
        <v>1034632</v>
      </c>
      <c r="F21" s="41"/>
      <c r="G21" s="41"/>
      <c r="H21" s="41"/>
      <c r="I21" s="41"/>
      <c r="J21" s="41"/>
      <c r="K21" s="41"/>
      <c r="L21" s="41"/>
      <c r="M21" s="41"/>
      <c r="N21" s="6"/>
    </row>
    <row r="22" spans="1:14" ht="15.75" customHeight="1" x14ac:dyDescent="0.15">
      <c r="A22" s="9"/>
      <c r="B22" s="57" t="s">
        <v>62</v>
      </c>
      <c r="C22" s="58">
        <f>'Asset Model'!H21</f>
        <v>421758</v>
      </c>
      <c r="D22" s="41">
        <v>1352795</v>
      </c>
      <c r="E22" s="41">
        <v>1205068</v>
      </c>
      <c r="F22" s="41"/>
      <c r="G22" s="41"/>
      <c r="H22" s="41"/>
      <c r="I22" s="41"/>
      <c r="J22" s="41"/>
      <c r="K22" s="41"/>
      <c r="L22" s="41"/>
      <c r="M22" s="41"/>
      <c r="N22" s="6"/>
    </row>
    <row r="23" spans="1:14" ht="15.75" customHeight="1" x14ac:dyDescent="0.15">
      <c r="A23" s="9"/>
      <c r="B23" s="57" t="s">
        <v>63</v>
      </c>
      <c r="C23" s="58">
        <f>'Asset Model'!H10+'Asset Model'!H12</f>
        <v>6810</v>
      </c>
      <c r="D23" s="41">
        <v>301783</v>
      </c>
      <c r="E23" s="41">
        <v>3225</v>
      </c>
      <c r="F23" s="41"/>
      <c r="G23" s="41"/>
      <c r="H23" s="41"/>
      <c r="I23" s="41"/>
      <c r="J23" s="41"/>
      <c r="K23" s="41"/>
      <c r="L23" s="41"/>
      <c r="M23" s="41"/>
      <c r="N23" s="6"/>
    </row>
    <row r="24" spans="1:14" ht="15.75" customHeight="1" x14ac:dyDescent="0.15">
      <c r="A24" s="9"/>
      <c r="B24" s="291" t="s">
        <v>64</v>
      </c>
      <c r="C24" s="288">
        <f>'Asset Model'!H12</f>
        <v>6810</v>
      </c>
      <c r="D24" s="289">
        <v>1783</v>
      </c>
      <c r="E24" s="289">
        <v>3225</v>
      </c>
      <c r="F24" s="289"/>
      <c r="G24" s="289"/>
      <c r="H24" s="289"/>
      <c r="I24" s="289"/>
      <c r="J24" s="289"/>
      <c r="K24" s="289"/>
      <c r="L24" s="289"/>
      <c r="M24" s="289"/>
      <c r="N24" s="6"/>
    </row>
    <row r="25" spans="1:14" ht="15.75" customHeight="1" x14ac:dyDescent="0.15">
      <c r="A25" s="9"/>
      <c r="B25" s="57" t="s">
        <v>65</v>
      </c>
      <c r="C25" s="58">
        <f>'Asset Model'!H23+'Asset Model'!H24</f>
        <v>12866</v>
      </c>
      <c r="D25" s="41">
        <v>5096</v>
      </c>
      <c r="E25" s="41">
        <v>6880</v>
      </c>
      <c r="F25" s="41"/>
      <c r="G25" s="41"/>
      <c r="H25" s="41"/>
      <c r="I25" s="41"/>
      <c r="J25" s="41"/>
      <c r="K25" s="41"/>
      <c r="L25" s="41"/>
      <c r="M25" s="41"/>
      <c r="N25" s="6"/>
    </row>
    <row r="26" spans="1:14" ht="15.75" customHeight="1" x14ac:dyDescent="0.15">
      <c r="A26" s="9"/>
      <c r="B26" s="291" t="s">
        <v>66</v>
      </c>
      <c r="C26" s="290">
        <f>'Asset Model'!H24</f>
        <v>12866</v>
      </c>
      <c r="D26" s="289">
        <v>5096</v>
      </c>
      <c r="E26" s="289">
        <v>6880</v>
      </c>
      <c r="F26" s="289"/>
      <c r="G26" s="289"/>
      <c r="H26" s="289"/>
      <c r="I26" s="289"/>
      <c r="J26" s="289"/>
      <c r="K26" s="289"/>
      <c r="L26" s="289"/>
      <c r="M26" s="289"/>
      <c r="N26" s="6"/>
    </row>
    <row r="27" spans="1:14" ht="15.75" customHeight="1" x14ac:dyDescent="0.15">
      <c r="A27" s="9"/>
      <c r="B27" s="57" t="s">
        <v>67</v>
      </c>
      <c r="C27" s="31">
        <f>IF(C7="","",C23+C25)</f>
        <v>19676</v>
      </c>
      <c r="D27" s="31">
        <f t="shared" ref="D27:M27" si="8">IF(D7="","",D23+D25)</f>
        <v>306879</v>
      </c>
      <c r="E27" s="31">
        <f t="shared" si="8"/>
        <v>10105</v>
      </c>
      <c r="F27" s="31" t="str">
        <f t="shared" si="8"/>
        <v/>
      </c>
      <c r="G27" s="31" t="str">
        <f t="shared" si="8"/>
        <v/>
      </c>
      <c r="H27" s="31" t="str">
        <f t="shared" si="8"/>
        <v/>
      </c>
      <c r="I27" s="31" t="str">
        <f t="shared" si="8"/>
        <v/>
      </c>
      <c r="J27" s="31" t="str">
        <f t="shared" si="8"/>
        <v/>
      </c>
      <c r="K27" s="31" t="str">
        <f t="shared" si="8"/>
        <v/>
      </c>
      <c r="L27" s="31" t="str">
        <f t="shared" si="8"/>
        <v/>
      </c>
      <c r="M27" s="31" t="str">
        <f t="shared" si="8"/>
        <v/>
      </c>
      <c r="N27" s="6"/>
    </row>
    <row r="28" spans="1:14" ht="15.75" customHeight="1" x14ac:dyDescent="0.15">
      <c r="A28" s="9"/>
      <c r="B28" s="57" t="s">
        <v>68</v>
      </c>
      <c r="C28" s="58">
        <f>'Asset Model'!D3</f>
        <v>2804928</v>
      </c>
      <c r="D28" s="41">
        <v>250534</v>
      </c>
      <c r="E28" s="41">
        <v>13930</v>
      </c>
      <c r="F28" s="41"/>
      <c r="G28" s="41"/>
      <c r="H28" s="41"/>
      <c r="I28" s="41"/>
      <c r="J28" s="41"/>
      <c r="K28" s="41"/>
      <c r="L28" s="41"/>
      <c r="M28" s="41"/>
      <c r="N28" s="6"/>
    </row>
    <row r="29" spans="1:14" ht="15.75" customHeight="1" x14ac:dyDescent="0.15">
      <c r="A29" s="9"/>
      <c r="B29" s="291" t="s">
        <v>69</v>
      </c>
      <c r="C29" s="290">
        <f>'Asset Model'!C43</f>
        <v>1282</v>
      </c>
      <c r="D29" s="289">
        <v>2853</v>
      </c>
      <c r="E29" s="289">
        <v>696</v>
      </c>
      <c r="F29" s="289"/>
      <c r="G29" s="289"/>
      <c r="H29" s="289"/>
      <c r="I29" s="289"/>
      <c r="J29" s="289"/>
      <c r="K29" s="289"/>
      <c r="L29" s="289"/>
      <c r="M29" s="289"/>
      <c r="N29" s="6"/>
    </row>
    <row r="30" spans="1:14" ht="15.75" customHeight="1" x14ac:dyDescent="0.15">
      <c r="A30" s="9"/>
      <c r="B30" s="57" t="s">
        <v>70</v>
      </c>
      <c r="C30" s="58">
        <f>'Asset Model'!D52</f>
        <v>2198451</v>
      </c>
      <c r="D30" s="41">
        <v>884766</v>
      </c>
      <c r="E30" s="41">
        <v>511035</v>
      </c>
      <c r="F30" s="41"/>
      <c r="G30" s="41"/>
      <c r="H30" s="41"/>
      <c r="I30" s="41"/>
      <c r="J30" s="41"/>
      <c r="K30" s="41"/>
      <c r="L30" s="41"/>
      <c r="M30" s="41"/>
      <c r="N30" s="6"/>
    </row>
    <row r="31" spans="1:14" ht="15.75" customHeight="1" x14ac:dyDescent="0.15">
      <c r="A31" s="9"/>
      <c r="B31" s="57" t="s">
        <v>71</v>
      </c>
      <c r="C31" s="58">
        <f>'Asset Model'!C23+'Asset Model'!C24+'Asset Model'!C27</f>
        <v>195946</v>
      </c>
      <c r="D31" s="41">
        <v>172844</v>
      </c>
      <c r="E31" s="41">
        <v>159191</v>
      </c>
      <c r="F31" s="41"/>
      <c r="G31" s="41"/>
      <c r="H31" s="41"/>
      <c r="I31" s="41"/>
      <c r="J31" s="41"/>
      <c r="K31" s="41"/>
      <c r="L31" s="41"/>
      <c r="M31" s="41"/>
      <c r="N31" s="6"/>
    </row>
    <row r="32" spans="1:14" ht="15.75" customHeight="1" x14ac:dyDescent="0.15">
      <c r="A32" s="9"/>
      <c r="B32" s="57" t="s">
        <v>72</v>
      </c>
      <c r="C32" s="14">
        <f t="shared" ref="C32:M32" si="9">IF(D7="","",(C31-D31)/C31)</f>
        <v>0.1178998295448746</v>
      </c>
      <c r="D32" s="14">
        <f t="shared" si="9"/>
        <v>7.8990303394968875E-2</v>
      </c>
      <c r="E32" s="14" t="str">
        <f t="shared" si="9"/>
        <v/>
      </c>
      <c r="F32" s="14" t="str">
        <f t="shared" si="9"/>
        <v/>
      </c>
      <c r="G32" s="14" t="str">
        <f t="shared" si="9"/>
        <v/>
      </c>
      <c r="H32" s="14" t="str">
        <f t="shared" si="9"/>
        <v/>
      </c>
      <c r="I32" s="14" t="str">
        <f t="shared" si="9"/>
        <v/>
      </c>
      <c r="J32" s="14" t="str">
        <f t="shared" si="9"/>
        <v/>
      </c>
      <c r="K32" s="14" t="str">
        <f t="shared" si="9"/>
        <v/>
      </c>
      <c r="L32" s="14" t="str">
        <f t="shared" si="9"/>
        <v/>
      </c>
      <c r="M32" s="14" t="str">
        <f t="shared" si="9"/>
        <v/>
      </c>
      <c r="N32" s="6"/>
    </row>
    <row r="33" spans="1:14" ht="15.75" customHeight="1" x14ac:dyDescent="0.15">
      <c r="A33" s="9"/>
      <c r="B33" s="57" t="s">
        <v>73</v>
      </c>
      <c r="C33" s="31">
        <f t="shared" ref="C33:M33" si="10">IF(D7="","",(C7-D7)*$D$51)</f>
        <v>5735.4567999999999</v>
      </c>
      <c r="D33" s="31">
        <f t="shared" si="10"/>
        <v>27285.171199999997</v>
      </c>
      <c r="E33" s="31" t="str">
        <f t="shared" si="10"/>
        <v/>
      </c>
      <c r="F33" s="31" t="str">
        <f t="shared" si="10"/>
        <v/>
      </c>
      <c r="G33" s="31" t="str">
        <f t="shared" si="10"/>
        <v/>
      </c>
      <c r="H33" s="31" t="str">
        <f t="shared" si="10"/>
        <v/>
      </c>
      <c r="I33" s="31" t="str">
        <f t="shared" si="10"/>
        <v/>
      </c>
      <c r="J33" s="31" t="str">
        <f t="shared" si="10"/>
        <v/>
      </c>
      <c r="K33" s="31" t="str">
        <f t="shared" si="10"/>
        <v/>
      </c>
      <c r="L33" s="31" t="str">
        <f t="shared" si="10"/>
        <v/>
      </c>
      <c r="M33" s="31" t="str">
        <f t="shared" si="10"/>
        <v/>
      </c>
      <c r="N33" s="6"/>
    </row>
    <row r="34" spans="1:14" ht="15.75" customHeight="1" x14ac:dyDescent="0.15">
      <c r="A34" s="9"/>
      <c r="B34" s="57" t="s">
        <v>74</v>
      </c>
      <c r="C34" s="31">
        <f t="shared" ref="C34:M34" si="11">IF(D7="","",C31-D31+C33)</f>
        <v>28837.4568</v>
      </c>
      <c r="D34" s="31">
        <f t="shared" si="11"/>
        <v>40938.171199999997</v>
      </c>
      <c r="E34" s="31" t="str">
        <f t="shared" si="11"/>
        <v/>
      </c>
      <c r="F34" s="31" t="str">
        <f t="shared" si="11"/>
        <v/>
      </c>
      <c r="G34" s="31" t="str">
        <f t="shared" si="11"/>
        <v/>
      </c>
      <c r="H34" s="31" t="str">
        <f t="shared" si="11"/>
        <v/>
      </c>
      <c r="I34" s="31" t="str">
        <f t="shared" si="11"/>
        <v/>
      </c>
      <c r="J34" s="31" t="str">
        <f t="shared" si="11"/>
        <v/>
      </c>
      <c r="K34" s="31" t="str">
        <f t="shared" si="11"/>
        <v/>
      </c>
      <c r="L34" s="31" t="str">
        <f t="shared" si="11"/>
        <v/>
      </c>
      <c r="M34" s="31" t="str">
        <f t="shared" si="11"/>
        <v/>
      </c>
      <c r="N34" s="6"/>
    </row>
    <row r="35" spans="1:14" ht="15.75" customHeight="1" x14ac:dyDescent="0.15">
      <c r="A35" s="9"/>
      <c r="B35" s="57" t="s">
        <v>75</v>
      </c>
      <c r="C35" s="14">
        <f t="shared" ref="C35:M35" si="12">IF(C34="","",C34/C16)</f>
        <v>0.53398247923784126</v>
      </c>
      <c r="D35" s="14">
        <f t="shared" si="12"/>
        <v>0.19797552615289382</v>
      </c>
      <c r="E35" s="14" t="str">
        <f t="shared" si="12"/>
        <v/>
      </c>
      <c r="F35" s="14" t="str">
        <f t="shared" si="12"/>
        <v/>
      </c>
      <c r="G35" s="14" t="str">
        <f t="shared" si="12"/>
        <v/>
      </c>
      <c r="H35" s="14" t="str">
        <f t="shared" si="12"/>
        <v/>
      </c>
      <c r="I35" s="14" t="str">
        <f t="shared" si="12"/>
        <v/>
      </c>
      <c r="J35" s="14" t="str">
        <f t="shared" si="12"/>
        <v/>
      </c>
      <c r="K35" s="14" t="str">
        <f t="shared" si="12"/>
        <v/>
      </c>
      <c r="L35" s="14" t="str">
        <f t="shared" si="12"/>
        <v/>
      </c>
      <c r="M35" s="14" t="str">
        <f t="shared" si="12"/>
        <v/>
      </c>
      <c r="N35" s="6"/>
    </row>
    <row r="36" spans="1:14" ht="15.75" customHeight="1" x14ac:dyDescent="0.15">
      <c r="A36" s="9"/>
      <c r="B36" s="59" t="s">
        <v>76</v>
      </c>
      <c r="C36" s="60">
        <f t="shared" ref="C36:M36" si="13">IF(C28="","",C28-C30+C27)</f>
        <v>626153</v>
      </c>
      <c r="D36" s="60">
        <f t="shared" si="13"/>
        <v>-327353</v>
      </c>
      <c r="E36" s="60">
        <f t="shared" si="13"/>
        <v>-487000</v>
      </c>
      <c r="F36" s="60" t="str">
        <f t="shared" si="13"/>
        <v/>
      </c>
      <c r="G36" s="60" t="str">
        <f t="shared" si="13"/>
        <v/>
      </c>
      <c r="H36" s="60" t="str">
        <f t="shared" si="13"/>
        <v/>
      </c>
      <c r="I36" s="60" t="str">
        <f t="shared" si="13"/>
        <v/>
      </c>
      <c r="J36" s="60" t="str">
        <f t="shared" si="13"/>
        <v/>
      </c>
      <c r="K36" s="60" t="str">
        <f t="shared" si="13"/>
        <v/>
      </c>
      <c r="L36" s="60" t="str">
        <f t="shared" si="13"/>
        <v/>
      </c>
      <c r="M36" s="60" t="str">
        <f t="shared" si="13"/>
        <v/>
      </c>
      <c r="N36" s="6"/>
    </row>
    <row r="37" spans="1:14" ht="15.75" customHeight="1" x14ac:dyDescent="0.15">
      <c r="A37" s="9"/>
      <c r="B37" s="61" t="s">
        <v>77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4" ht="15.75" customHeight="1" x14ac:dyDescent="0.15">
      <c r="A38" s="9"/>
      <c r="B38" s="56" t="s">
        <v>78</v>
      </c>
      <c r="C38" s="62">
        <f>IF(C16="","",(C16*$C$4)/(Dashboard!$I$6*1000000))</f>
        <v>2.0251737400280953E-2</v>
      </c>
      <c r="D38" s="62">
        <f>IF(D16="","",(D16*$C$4)/(Dashboard!$I$6*1000000))</f>
        <v>7.7544191068886797E-2</v>
      </c>
      <c r="E38" s="62">
        <f>IF(E16="","",(E16*$C$4)/(Dashboard!$I$6*1000000))</f>
        <v>6.3000436483075489E-2</v>
      </c>
      <c r="F38" s="62" t="str">
        <f>IF(F16="","",(F16*$C$4)/(Dashboard!$I$6*1000000))</f>
        <v/>
      </c>
      <c r="G38" s="62" t="str">
        <f>IF(G16="","",(G16*$C$4)/(Dashboard!$I$6*1000000))</f>
        <v/>
      </c>
      <c r="H38" s="62" t="str">
        <f>IF(H16="","",(H16*$C$4)/(Dashboard!$I$6*1000000))</f>
        <v/>
      </c>
      <c r="I38" s="62" t="str">
        <f>IF(I16="","",(I16*$C$4)/(Dashboard!$I$6*1000000))</f>
        <v/>
      </c>
      <c r="J38" s="62" t="str">
        <f>IF(J16="","",(J16*$C$4)/(Dashboard!$I$6*1000000))</f>
        <v/>
      </c>
      <c r="K38" s="62" t="str">
        <f>IF(K16="","",(K16*$C$4)/(Dashboard!$I$6*1000000))</f>
        <v/>
      </c>
      <c r="L38" s="62" t="str">
        <f>IF(L16="","",(L16*$C$4)/(Dashboard!$I$6*1000000))</f>
        <v/>
      </c>
      <c r="M38" s="62" t="str">
        <f>IF(M16="","",(M16*$C$4)/(Dashboard!$I$6*1000000))</f>
        <v/>
      </c>
      <c r="N38" s="6"/>
    </row>
    <row r="39" spans="1:14" ht="15.75" customHeight="1" x14ac:dyDescent="0.15">
      <c r="A39" s="9"/>
      <c r="B39" s="59" t="s">
        <v>79</v>
      </c>
      <c r="C39" s="63">
        <f>IF(C19="","",(C19*$C$4)/(Dashboard!$I$6*1000000))</f>
        <v>3.453496009414167E-2</v>
      </c>
      <c r="D39" s="63">
        <f>IF(D19="","",(D19*$C$4)/(Dashboard!$I$6*1000000))</f>
        <v>8.3918081774153497E-2</v>
      </c>
      <c r="E39" s="63">
        <f>IF(E19="","",(E19*$C$4)/(Dashboard!$I$6*1000000))</f>
        <v>6.9436671091957572E-2</v>
      </c>
      <c r="F39" s="63" t="str">
        <f>IF(F19="","",(F19*$C$4)/(Dashboard!$I$6*1000000))</f>
        <v/>
      </c>
      <c r="G39" s="63" t="str">
        <f>IF(G19="","",(G19*$C$4)/(Dashboard!$I$6*1000000))</f>
        <v/>
      </c>
      <c r="H39" s="63" t="str">
        <f>IF(H19="","",(H19*$C$4)/(Dashboard!$I$6*1000000))</f>
        <v/>
      </c>
      <c r="I39" s="63" t="str">
        <f>IF(I19="","",(I19*$C$4)/(Dashboard!$I$6*1000000))</f>
        <v/>
      </c>
      <c r="J39" s="63" t="str">
        <f>IF(J19="","",(J19*$C$4)/(Dashboard!$I$6*1000000))</f>
        <v/>
      </c>
      <c r="K39" s="63" t="str">
        <f>IF(K19="","",(K19*$C$4)/(Dashboard!$I$6*1000000))</f>
        <v/>
      </c>
      <c r="L39" s="63" t="str">
        <f>IF(L19="","",(L19*$C$4)/(Dashboard!$I$6*1000000))</f>
        <v/>
      </c>
      <c r="M39" s="63" t="str">
        <f>IF(M19="","",(M19*$C$4)/(Dashboard!$I$6*1000000))</f>
        <v/>
      </c>
      <c r="N39" s="6"/>
    </row>
    <row r="40" spans="1:14" ht="15.75" customHeight="1" x14ac:dyDescent="0.15">
      <c r="A40" s="9"/>
      <c r="B40" s="61" t="s">
        <v>345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ht="15.75" customHeight="1" x14ac:dyDescent="0.15">
      <c r="A41" s="9"/>
      <c r="B41" s="56" t="s">
        <v>343</v>
      </c>
      <c r="C41" s="298">
        <v>58667</v>
      </c>
      <c r="D41" s="298">
        <v>221311</v>
      </c>
      <c r="E41" s="298">
        <v>220950</v>
      </c>
      <c r="F41" s="298"/>
      <c r="G41" s="298"/>
      <c r="H41" s="298"/>
      <c r="I41" s="298"/>
      <c r="J41" s="298"/>
      <c r="K41" s="298"/>
      <c r="L41" s="298"/>
      <c r="M41" s="298"/>
      <c r="N41" s="6"/>
    </row>
    <row r="42" spans="1:14" ht="15.75" customHeight="1" x14ac:dyDescent="0.15">
      <c r="A42" s="9"/>
      <c r="B42" s="59" t="s">
        <v>344</v>
      </c>
      <c r="C42" s="131">
        <v>0</v>
      </c>
      <c r="D42" s="131">
        <v>0</v>
      </c>
      <c r="E42" s="131">
        <v>0</v>
      </c>
      <c r="F42" s="131"/>
      <c r="G42" s="131"/>
      <c r="H42" s="131"/>
      <c r="I42" s="131"/>
      <c r="J42" s="131"/>
      <c r="K42" s="131"/>
      <c r="L42" s="131"/>
      <c r="M42" s="131"/>
      <c r="N42" s="6"/>
    </row>
    <row r="43" spans="1:14" ht="15.75" customHeight="1" x14ac:dyDescent="0.15">
      <c r="A43" s="9"/>
      <c r="B43" s="182" t="s">
        <v>81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4" ht="15.75" customHeight="1" x14ac:dyDescent="0.15">
      <c r="A44" s="9"/>
      <c r="B44" s="56" t="s">
        <v>82</v>
      </c>
      <c r="C44" s="62">
        <f t="shared" ref="C44:M44" si="14">IF(C36="","",C25/C28)</f>
        <v>4.5869270084651012E-3</v>
      </c>
      <c r="D44" s="62">
        <f t="shared" si="14"/>
        <v>2.0340552579689784E-2</v>
      </c>
      <c r="E44" s="62">
        <f t="shared" si="14"/>
        <v>0.4938980617372577</v>
      </c>
      <c r="F44" s="62" t="str">
        <f t="shared" si="14"/>
        <v/>
      </c>
      <c r="G44" s="62" t="str">
        <f t="shared" si="14"/>
        <v/>
      </c>
      <c r="H44" s="62" t="str">
        <f t="shared" si="14"/>
        <v/>
      </c>
      <c r="I44" s="62" t="str">
        <f t="shared" si="14"/>
        <v/>
      </c>
      <c r="J44" s="62" t="str">
        <f t="shared" si="14"/>
        <v/>
      </c>
      <c r="K44" s="62" t="str">
        <f t="shared" si="14"/>
        <v/>
      </c>
      <c r="L44" s="62" t="str">
        <f t="shared" si="14"/>
        <v/>
      </c>
      <c r="M44" s="62" t="str">
        <f t="shared" si="14"/>
        <v/>
      </c>
      <c r="N44" s="6"/>
    </row>
    <row r="45" spans="1:14" ht="15.75" customHeight="1" x14ac:dyDescent="0.15">
      <c r="A45" s="9"/>
      <c r="B45" s="57" t="s">
        <v>83</v>
      </c>
      <c r="C45" s="14">
        <f t="shared" ref="C45:M45" si="15">IF(C36="","",C27/C28)</f>
        <v>7.0147968147488988E-3</v>
      </c>
      <c r="D45" s="14">
        <f t="shared" si="15"/>
        <v>1.2248996144235913</v>
      </c>
      <c r="E45" s="14">
        <f t="shared" si="15"/>
        <v>0.72541277817659722</v>
      </c>
      <c r="F45" s="14" t="str">
        <f t="shared" si="15"/>
        <v/>
      </c>
      <c r="G45" s="14" t="str">
        <f t="shared" si="15"/>
        <v/>
      </c>
      <c r="H45" s="14" t="str">
        <f t="shared" si="15"/>
        <v/>
      </c>
      <c r="I45" s="14" t="str">
        <f t="shared" si="15"/>
        <v/>
      </c>
      <c r="J45" s="14" t="str">
        <f t="shared" si="15"/>
        <v/>
      </c>
      <c r="K45" s="14" t="str">
        <f t="shared" si="15"/>
        <v/>
      </c>
      <c r="L45" s="14" t="str">
        <f t="shared" si="15"/>
        <v/>
      </c>
      <c r="M45" s="14" t="str">
        <f t="shared" si="15"/>
        <v/>
      </c>
      <c r="N45" s="6"/>
    </row>
    <row r="46" spans="1:14" ht="15.75" customHeight="1" x14ac:dyDescent="0.15">
      <c r="A46" s="9"/>
      <c r="B46" s="57" t="s">
        <v>84</v>
      </c>
      <c r="C46" s="66">
        <f t="shared" ref="C46:M46" si="16">IF(C36="","",IF(C27&lt;=0,"-",C14/C27))</f>
        <v>3.6595852815612928</v>
      </c>
      <c r="D46" s="66">
        <f t="shared" si="16"/>
        <v>0.89843879835374851</v>
      </c>
      <c r="E46" s="66">
        <f t="shared" si="16"/>
        <v>22.167342899554676</v>
      </c>
      <c r="F46" s="66" t="str">
        <f t="shared" si="16"/>
        <v/>
      </c>
      <c r="G46" s="66" t="str">
        <f t="shared" si="16"/>
        <v/>
      </c>
      <c r="H46" s="66" t="str">
        <f t="shared" si="16"/>
        <v/>
      </c>
      <c r="I46" s="66" t="str">
        <f t="shared" si="16"/>
        <v/>
      </c>
      <c r="J46" s="66" t="str">
        <f t="shared" si="16"/>
        <v/>
      </c>
      <c r="K46" s="66" t="str">
        <f t="shared" si="16"/>
        <v/>
      </c>
      <c r="L46" s="66" t="str">
        <f t="shared" si="16"/>
        <v/>
      </c>
      <c r="M46" s="66" t="str">
        <f t="shared" si="16"/>
        <v/>
      </c>
      <c r="N46" s="6"/>
    </row>
    <row r="47" spans="1:14" ht="15.75" customHeight="1" x14ac:dyDescent="0.15">
      <c r="A47" s="9"/>
      <c r="B47" s="57" t="s">
        <v>85</v>
      </c>
      <c r="C47" s="66">
        <f t="shared" ref="C47:M47" si="17">IF(C34="","",IF(C18&lt;=0,"-",C18/C16))</f>
        <v>2.986788138025535E-2</v>
      </c>
      <c r="D47" s="66">
        <f t="shared" si="17"/>
        <v>1.2791125038687713E-2</v>
      </c>
      <c r="E47" s="66" t="str">
        <f t="shared" si="17"/>
        <v/>
      </c>
      <c r="F47" s="66" t="str">
        <f t="shared" si="17"/>
        <v/>
      </c>
      <c r="G47" s="66" t="str">
        <f t="shared" si="17"/>
        <v/>
      </c>
      <c r="H47" s="66" t="str">
        <f t="shared" si="17"/>
        <v/>
      </c>
      <c r="I47" s="66" t="str">
        <f t="shared" si="17"/>
        <v/>
      </c>
      <c r="J47" s="66" t="str">
        <f t="shared" si="17"/>
        <v/>
      </c>
      <c r="K47" s="66" t="str">
        <f t="shared" si="17"/>
        <v/>
      </c>
      <c r="L47" s="66" t="str">
        <f t="shared" si="17"/>
        <v/>
      </c>
      <c r="M47" s="66" t="str">
        <f t="shared" si="17"/>
        <v/>
      </c>
      <c r="N47" s="6"/>
    </row>
    <row r="48" spans="1:14" ht="15.75" customHeight="1" x14ac:dyDescent="0.15">
      <c r="A48" s="9"/>
      <c r="B48" s="59" t="s">
        <v>86</v>
      </c>
      <c r="C48" s="67">
        <f t="shared" ref="C48:M48" si="18">IF(C36="","",C21/C22)</f>
        <v>6.7308456508234578</v>
      </c>
      <c r="D48" s="67">
        <f t="shared" si="18"/>
        <v>1.0336141100462377</v>
      </c>
      <c r="E48" s="67">
        <f t="shared" si="18"/>
        <v>0.85856731736300362</v>
      </c>
      <c r="F48" s="67" t="str">
        <f t="shared" si="18"/>
        <v/>
      </c>
      <c r="G48" s="67" t="str">
        <f t="shared" si="18"/>
        <v/>
      </c>
      <c r="H48" s="67" t="str">
        <f t="shared" si="18"/>
        <v/>
      </c>
      <c r="I48" s="67" t="str">
        <f t="shared" si="18"/>
        <v/>
      </c>
      <c r="J48" s="67" t="str">
        <f t="shared" si="18"/>
        <v/>
      </c>
      <c r="K48" s="67" t="str">
        <f t="shared" si="18"/>
        <v/>
      </c>
      <c r="L48" s="67" t="str">
        <f t="shared" si="18"/>
        <v/>
      </c>
      <c r="M48" s="67" t="str">
        <f t="shared" si="18"/>
        <v/>
      </c>
      <c r="N48" s="6"/>
    </row>
    <row r="49" spans="1:13" ht="15.75" customHeight="1" x14ac:dyDescent="0.15">
      <c r="A49" s="9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1:13" ht="15.75" customHeight="1" x14ac:dyDescent="0.15">
      <c r="A50" s="9"/>
      <c r="B50" s="22" t="s">
        <v>87</v>
      </c>
      <c r="C50" s="68"/>
      <c r="D50" s="68"/>
      <c r="E50" s="68"/>
      <c r="F50" s="68"/>
    </row>
    <row r="51" spans="1:13" ht="15.75" customHeight="1" x14ac:dyDescent="0.15">
      <c r="A51" s="9"/>
      <c r="B51" s="6" t="s">
        <v>347</v>
      </c>
      <c r="C51" s="6"/>
      <c r="D51" s="362">
        <v>8.5599999999999996E-2</v>
      </c>
      <c r="E51" s="363"/>
      <c r="F51" s="6"/>
    </row>
    <row r="52" spans="1:13" ht="15" customHeight="1" x14ac:dyDescent="0.15">
      <c r="A52" s="9"/>
      <c r="B52" s="69" t="s">
        <v>88</v>
      </c>
      <c r="C52" s="6"/>
      <c r="D52" s="357" t="s">
        <v>89</v>
      </c>
      <c r="E52" s="333"/>
      <c r="F52" s="6"/>
    </row>
    <row r="53" spans="1:13" ht="15" customHeight="1" x14ac:dyDescent="0.15">
      <c r="A53" s="9"/>
      <c r="B53" s="69"/>
      <c r="D53" s="24"/>
      <c r="E53" s="24"/>
    </row>
    <row r="54" spans="1:13" ht="15.75" customHeight="1" x14ac:dyDescent="0.15">
      <c r="A54" s="9"/>
      <c r="B54" s="70" t="s">
        <v>90</v>
      </c>
      <c r="C54" s="71"/>
      <c r="D54" s="358">
        <v>5</v>
      </c>
      <c r="E54" s="359"/>
      <c r="F54" s="72"/>
    </row>
    <row r="55" spans="1:13" ht="15.75" customHeight="1" x14ac:dyDescent="0.15">
      <c r="A55" s="9"/>
      <c r="B55" s="73" t="s">
        <v>91</v>
      </c>
      <c r="C55" s="74" t="s">
        <v>92</v>
      </c>
      <c r="D55" s="360" t="s">
        <v>93</v>
      </c>
      <c r="E55" s="361"/>
      <c r="F55" s="75" t="s">
        <v>94</v>
      </c>
    </row>
    <row r="56" spans="1:13" ht="15.75" customHeight="1" x14ac:dyDescent="0.15">
      <c r="A56" s="9"/>
      <c r="B56" s="76" t="str">
        <f>C6</f>
        <v>FY 2021</v>
      </c>
      <c r="C56" s="77"/>
      <c r="D56" s="78">
        <f>1</f>
        <v>1</v>
      </c>
      <c r="E56" s="79">
        <f t="shared" ref="E56:E66" si="19">C56*D56</f>
        <v>0</v>
      </c>
      <c r="F56" s="80">
        <v>0</v>
      </c>
    </row>
    <row r="57" spans="1:13" ht="15.75" customHeight="1" x14ac:dyDescent="0.15">
      <c r="A57" s="9"/>
      <c r="B57" s="81">
        <f>IF(D7="","",-1)</f>
        <v>-1</v>
      </c>
      <c r="C57" s="77"/>
      <c r="D57" s="78">
        <f t="shared" ref="D57:D66" si="20">IF(B57&lt;0,(D$54+B57)/D$54,0)</f>
        <v>0.8</v>
      </c>
      <c r="E57" s="79">
        <f t="shared" si="19"/>
        <v>0</v>
      </c>
      <c r="F57" s="80">
        <f t="shared" ref="F57:F66" si="21">IF(B57&lt;0,C57/$D$54,0)</f>
        <v>0</v>
      </c>
    </row>
    <row r="58" spans="1:13" ht="15.75" customHeight="1" x14ac:dyDescent="0.15">
      <c r="A58" s="9"/>
      <c r="B58" s="81">
        <f t="shared" ref="B58:B66" si="22">IF((0-B57)&lt;$D$54,IF(B57&gt;-1, ,B57-1), )</f>
        <v>-2</v>
      </c>
      <c r="C58" s="77"/>
      <c r="D58" s="78">
        <f t="shared" si="20"/>
        <v>0.6</v>
      </c>
      <c r="E58" s="79">
        <f t="shared" si="19"/>
        <v>0</v>
      </c>
      <c r="F58" s="80">
        <f t="shared" si="21"/>
        <v>0</v>
      </c>
    </row>
    <row r="59" spans="1:13" ht="15.75" customHeight="1" x14ac:dyDescent="0.15">
      <c r="A59" s="9"/>
      <c r="B59" s="81">
        <f t="shared" si="22"/>
        <v>-3</v>
      </c>
      <c r="C59" s="77"/>
      <c r="D59" s="78">
        <f t="shared" si="20"/>
        <v>0.4</v>
      </c>
      <c r="E59" s="79">
        <f t="shared" si="19"/>
        <v>0</v>
      </c>
      <c r="F59" s="80">
        <f t="shared" si="21"/>
        <v>0</v>
      </c>
    </row>
    <row r="60" spans="1:13" ht="15.75" customHeight="1" x14ac:dyDescent="0.15">
      <c r="A60" s="9"/>
      <c r="B60" s="81">
        <f t="shared" si="22"/>
        <v>-4</v>
      </c>
      <c r="C60" s="77"/>
      <c r="D60" s="78">
        <f t="shared" si="20"/>
        <v>0.2</v>
      </c>
      <c r="E60" s="79">
        <f t="shared" si="19"/>
        <v>0</v>
      </c>
      <c r="F60" s="80">
        <f t="shared" si="21"/>
        <v>0</v>
      </c>
    </row>
    <row r="61" spans="1:13" ht="15.75" customHeight="1" x14ac:dyDescent="0.15">
      <c r="A61" s="9"/>
      <c r="B61" s="81">
        <f t="shared" si="22"/>
        <v>-5</v>
      </c>
      <c r="C61" s="77"/>
      <c r="D61" s="78">
        <f t="shared" si="20"/>
        <v>0</v>
      </c>
      <c r="E61" s="79">
        <f t="shared" si="19"/>
        <v>0</v>
      </c>
      <c r="F61" s="80">
        <f t="shared" si="21"/>
        <v>0</v>
      </c>
    </row>
    <row r="62" spans="1:13" ht="15.75" customHeight="1" x14ac:dyDescent="0.15">
      <c r="A62" s="9"/>
      <c r="B62" s="81">
        <f t="shared" si="22"/>
        <v>0</v>
      </c>
      <c r="C62" s="77"/>
      <c r="D62" s="78">
        <f t="shared" si="20"/>
        <v>0</v>
      </c>
      <c r="E62" s="79">
        <f t="shared" si="19"/>
        <v>0</v>
      </c>
      <c r="F62" s="80">
        <f t="shared" si="21"/>
        <v>0</v>
      </c>
    </row>
    <row r="63" spans="1:13" ht="15.75" customHeight="1" x14ac:dyDescent="0.15">
      <c r="A63" s="9"/>
      <c r="B63" s="81">
        <f t="shared" si="22"/>
        <v>0</v>
      </c>
      <c r="C63" s="77"/>
      <c r="D63" s="78">
        <f t="shared" si="20"/>
        <v>0</v>
      </c>
      <c r="E63" s="79">
        <f t="shared" si="19"/>
        <v>0</v>
      </c>
      <c r="F63" s="80">
        <f t="shared" si="21"/>
        <v>0</v>
      </c>
    </row>
    <row r="64" spans="1:13" ht="15.75" customHeight="1" x14ac:dyDescent="0.15">
      <c r="A64" s="9"/>
      <c r="B64" s="81">
        <f t="shared" si="22"/>
        <v>0</v>
      </c>
      <c r="C64" s="77"/>
      <c r="D64" s="78">
        <f t="shared" si="20"/>
        <v>0</v>
      </c>
      <c r="E64" s="79">
        <f t="shared" si="19"/>
        <v>0</v>
      </c>
      <c r="F64" s="80">
        <f t="shared" si="21"/>
        <v>0</v>
      </c>
    </row>
    <row r="65" spans="1:6" ht="15.75" customHeight="1" x14ac:dyDescent="0.15">
      <c r="A65" s="9"/>
      <c r="B65" s="81">
        <f t="shared" si="22"/>
        <v>0</v>
      </c>
      <c r="C65" s="77"/>
      <c r="D65" s="78">
        <f t="shared" si="20"/>
        <v>0</v>
      </c>
      <c r="E65" s="79">
        <f t="shared" si="19"/>
        <v>0</v>
      </c>
      <c r="F65" s="80">
        <f t="shared" si="21"/>
        <v>0</v>
      </c>
    </row>
    <row r="66" spans="1:6" ht="15.75" customHeight="1" x14ac:dyDescent="0.15">
      <c r="A66" s="9"/>
      <c r="B66" s="81">
        <f t="shared" si="22"/>
        <v>0</v>
      </c>
      <c r="C66" s="77"/>
      <c r="D66" s="78">
        <f t="shared" si="20"/>
        <v>0</v>
      </c>
      <c r="E66" s="79">
        <f t="shared" si="19"/>
        <v>0</v>
      </c>
      <c r="F66" s="80">
        <f t="shared" si="21"/>
        <v>0</v>
      </c>
    </row>
    <row r="67" spans="1:6" ht="15.75" customHeight="1" x14ac:dyDescent="0.15">
      <c r="A67" s="9"/>
      <c r="B67" s="82" t="s">
        <v>95</v>
      </c>
      <c r="C67" s="69"/>
      <c r="D67" s="69"/>
      <c r="E67" s="79">
        <f>SUM(E56:E66)</f>
        <v>0</v>
      </c>
      <c r="F67" s="83"/>
    </row>
    <row r="68" spans="1:6" ht="15.75" customHeight="1" x14ac:dyDescent="0.15">
      <c r="A68" s="9"/>
      <c r="B68" s="82" t="s">
        <v>96</v>
      </c>
      <c r="C68" s="69"/>
      <c r="D68" s="69"/>
      <c r="E68" s="69"/>
      <c r="F68" s="80">
        <f>SUM(F57:F66)</f>
        <v>0</v>
      </c>
    </row>
    <row r="69" spans="1:6" ht="15.75" customHeight="1" x14ac:dyDescent="0.15">
      <c r="A69" s="9"/>
      <c r="B69" s="82"/>
      <c r="C69" s="69"/>
      <c r="D69" s="69"/>
      <c r="E69" s="69"/>
      <c r="F69" s="83"/>
    </row>
    <row r="70" spans="1:6" ht="15.75" customHeight="1" x14ac:dyDescent="0.15">
      <c r="A70" s="9"/>
      <c r="B70" s="84"/>
      <c r="C70" s="85" t="s">
        <v>97</v>
      </c>
      <c r="D70" s="85" t="s">
        <v>98</v>
      </c>
      <c r="E70" s="86" t="s">
        <v>99</v>
      </c>
      <c r="F70" s="87" t="s">
        <v>100</v>
      </c>
    </row>
    <row r="71" spans="1:6" ht="15.75" customHeight="1" x14ac:dyDescent="0.15">
      <c r="A71" s="9"/>
      <c r="B71" s="82" t="s">
        <v>101</v>
      </c>
      <c r="C71" s="88">
        <f>C14</f>
        <v>72006</v>
      </c>
      <c r="D71" s="88">
        <f>C71+C56-F68</f>
        <v>72006</v>
      </c>
      <c r="E71" s="69" t="s">
        <v>102</v>
      </c>
      <c r="F71" s="83" t="s">
        <v>103</v>
      </c>
    </row>
    <row r="72" spans="1:6" ht="15.75" customHeight="1" x14ac:dyDescent="0.15">
      <c r="A72" s="9"/>
      <c r="B72" s="82" t="s">
        <v>104</v>
      </c>
      <c r="C72" s="89">
        <f t="shared" ref="C72:D72" si="23">C71/$C$7</f>
        <v>4.0700740522180902E-2</v>
      </c>
      <c r="D72" s="89">
        <f t="shared" si="23"/>
        <v>4.0700740522180902E-2</v>
      </c>
      <c r="E72" s="69" t="s">
        <v>105</v>
      </c>
      <c r="F72" s="83" t="s">
        <v>106</v>
      </c>
    </row>
    <row r="73" spans="1:6" ht="15.75" customHeight="1" x14ac:dyDescent="0.15">
      <c r="A73" s="9"/>
      <c r="B73" s="82" t="s">
        <v>107</v>
      </c>
      <c r="C73" s="88">
        <f>C34</f>
        <v>28837.4568</v>
      </c>
      <c r="D73" s="88">
        <f>C73+E67-F68</f>
        <v>28837.4568</v>
      </c>
      <c r="E73" s="69" t="s">
        <v>108</v>
      </c>
      <c r="F73" s="83" t="s">
        <v>109</v>
      </c>
    </row>
    <row r="74" spans="1:6" ht="15.75" customHeight="1" x14ac:dyDescent="0.15">
      <c r="A74" s="9"/>
      <c r="B74" s="82" t="s">
        <v>110</v>
      </c>
      <c r="C74" s="88">
        <f>C16</f>
        <v>54004.5</v>
      </c>
      <c r="D74" s="88">
        <f>C74+C57</f>
        <v>54004.5</v>
      </c>
      <c r="E74" s="69" t="s">
        <v>111</v>
      </c>
      <c r="F74" s="83" t="s">
        <v>112</v>
      </c>
    </row>
    <row r="75" spans="1:6" ht="15.75" customHeight="1" x14ac:dyDescent="0.15">
      <c r="A75" s="9"/>
      <c r="B75" s="82" t="s">
        <v>113</v>
      </c>
      <c r="C75" s="88">
        <f>F3</f>
        <v>92093</v>
      </c>
      <c r="D75" s="88">
        <f>C75+C56-F68</f>
        <v>92093</v>
      </c>
      <c r="E75" s="69" t="s">
        <v>114</v>
      </c>
      <c r="F75" s="83" t="s">
        <v>112</v>
      </c>
    </row>
    <row r="76" spans="1:6" ht="15.75" customHeight="1" x14ac:dyDescent="0.15">
      <c r="A76" s="9"/>
      <c r="B76" s="90" t="s">
        <v>115</v>
      </c>
      <c r="C76" s="91">
        <f>C36</f>
        <v>626153</v>
      </c>
      <c r="D76" s="91">
        <f>C76+E67</f>
        <v>626153</v>
      </c>
      <c r="E76" s="8" t="s">
        <v>116</v>
      </c>
      <c r="F76" s="92" t="s">
        <v>112</v>
      </c>
    </row>
    <row r="77" spans="1:6" ht="15.75" customHeight="1" x14ac:dyDescent="0.15">
      <c r="A77" s="9"/>
      <c r="B77" s="69"/>
      <c r="C77" s="93"/>
      <c r="D77" s="93"/>
    </row>
    <row r="78" spans="1:6" ht="15.75" customHeight="1" x14ac:dyDescent="0.15">
      <c r="A78" s="9"/>
      <c r="B78" s="69"/>
      <c r="C78" s="93"/>
      <c r="D78" s="93"/>
    </row>
    <row r="79" spans="1:6" ht="15.75" customHeight="1" x14ac:dyDescent="0.15">
      <c r="A79" s="9"/>
      <c r="B79" s="69"/>
      <c r="C79" s="93"/>
      <c r="D79" s="93"/>
    </row>
    <row r="80" spans="1:6" ht="15.75" customHeight="1" x14ac:dyDescent="0.15">
      <c r="A80" s="9"/>
      <c r="B80" s="69"/>
      <c r="C80" s="94"/>
      <c r="D80" s="94"/>
    </row>
    <row r="81" spans="1:4" ht="15.75" customHeight="1" x14ac:dyDescent="0.15">
      <c r="A81" s="9"/>
      <c r="B81" s="69"/>
      <c r="C81" s="93"/>
      <c r="D81" s="93"/>
    </row>
    <row r="82" spans="1:4" ht="15.75" customHeight="1" x14ac:dyDescent="0.15">
      <c r="A82" s="9"/>
      <c r="B82" s="69"/>
      <c r="C82" s="94"/>
      <c r="D82" s="94"/>
    </row>
    <row r="83" spans="1:4" ht="15.75" customHeight="1" x14ac:dyDescent="0.15">
      <c r="A83" s="9"/>
    </row>
    <row r="84" spans="1:4" ht="15.75" customHeight="1" x14ac:dyDescent="0.15">
      <c r="A84" s="9"/>
    </row>
    <row r="85" spans="1:4" ht="15.75" customHeight="1" x14ac:dyDescent="0.15">
      <c r="A85" s="9"/>
    </row>
    <row r="86" spans="1:4" ht="15.75" customHeight="1" x14ac:dyDescent="0.15">
      <c r="A86" s="9"/>
    </row>
    <row r="87" spans="1:4" ht="15.75" customHeight="1" x14ac:dyDescent="0.15">
      <c r="A87" s="9"/>
    </row>
    <row r="88" spans="1:4" ht="15.75" customHeight="1" x14ac:dyDescent="0.15">
      <c r="A88" s="9"/>
    </row>
    <row r="89" spans="1:4" ht="15.75" customHeight="1" x14ac:dyDescent="0.15">
      <c r="A89" s="9"/>
    </row>
    <row r="90" spans="1:4" ht="15.75" customHeight="1" x14ac:dyDescent="0.15">
      <c r="A90" s="9"/>
    </row>
    <row r="91" spans="1:4" ht="15.75" customHeight="1" x14ac:dyDescent="0.15">
      <c r="A91" s="9"/>
    </row>
    <row r="92" spans="1:4" ht="15.75" customHeight="1" x14ac:dyDescent="0.15">
      <c r="A92" s="9"/>
    </row>
    <row r="93" spans="1:4" ht="15.75" customHeight="1" x14ac:dyDescent="0.15">
      <c r="A93" s="9"/>
    </row>
    <row r="94" spans="1:4" ht="15.75" customHeight="1" x14ac:dyDescent="0.15">
      <c r="A94" s="9"/>
    </row>
    <row r="95" spans="1:4" ht="15.75" customHeight="1" x14ac:dyDescent="0.15">
      <c r="A95" s="9"/>
    </row>
    <row r="96" spans="1:4" ht="15.75" customHeight="1" x14ac:dyDescent="0.15">
      <c r="A96" s="9"/>
    </row>
    <row r="97" spans="1:1" ht="15.75" customHeight="1" x14ac:dyDescent="0.15">
      <c r="A97" s="9"/>
    </row>
    <row r="98" spans="1:1" ht="15.75" customHeight="1" x14ac:dyDescent="0.15">
      <c r="A98" s="9"/>
    </row>
    <row r="99" spans="1:1" ht="15.75" customHeight="1" x14ac:dyDescent="0.15">
      <c r="A99" s="9"/>
    </row>
    <row r="100" spans="1:1" ht="15.75" customHeight="1" x14ac:dyDescent="0.15">
      <c r="A100" s="9"/>
    </row>
    <row r="101" spans="1:1" ht="15.75" customHeight="1" x14ac:dyDescent="0.15">
      <c r="A101" s="9"/>
    </row>
    <row r="102" spans="1:1" ht="15.75" customHeight="1" x14ac:dyDescent="0.15">
      <c r="A102" s="9"/>
    </row>
    <row r="103" spans="1:1" ht="15.75" customHeight="1" x14ac:dyDescent="0.15">
      <c r="A103" s="9"/>
    </row>
    <row r="104" spans="1:1" ht="15.75" customHeight="1" x14ac:dyDescent="0.15">
      <c r="A104" s="9"/>
    </row>
    <row r="105" spans="1:1" ht="15.75" customHeight="1" x14ac:dyDescent="0.15">
      <c r="A105" s="9"/>
    </row>
    <row r="106" spans="1:1" ht="15.75" customHeight="1" x14ac:dyDescent="0.15">
      <c r="A106" s="9"/>
    </row>
    <row r="107" spans="1:1" ht="15.75" customHeight="1" x14ac:dyDescent="0.15">
      <c r="A107" s="9"/>
    </row>
    <row r="108" spans="1:1" ht="15.75" customHeight="1" x14ac:dyDescent="0.15">
      <c r="A108" s="9"/>
    </row>
    <row r="109" spans="1:1" ht="15.75" customHeight="1" x14ac:dyDescent="0.15">
      <c r="A109" s="9"/>
    </row>
    <row r="110" spans="1:1" ht="15.75" customHeight="1" x14ac:dyDescent="0.15">
      <c r="A110" s="9"/>
    </row>
    <row r="111" spans="1:1" ht="15.75" customHeight="1" x14ac:dyDescent="0.15">
      <c r="A111" s="9"/>
    </row>
    <row r="112" spans="1:1" ht="15.75" customHeight="1" x14ac:dyDescent="0.15">
      <c r="A112" s="9"/>
    </row>
    <row r="113" spans="1:1" ht="15.75" customHeight="1" x14ac:dyDescent="0.15">
      <c r="A113" s="9"/>
    </row>
    <row r="114" spans="1:1" ht="15.75" customHeight="1" x14ac:dyDescent="0.15">
      <c r="A114" s="9"/>
    </row>
    <row r="115" spans="1:1" ht="15.75" customHeight="1" x14ac:dyDescent="0.15">
      <c r="A115" s="9"/>
    </row>
    <row r="116" spans="1:1" ht="15.75" customHeight="1" x14ac:dyDescent="0.15">
      <c r="A116" s="9"/>
    </row>
    <row r="117" spans="1:1" ht="15.75" customHeight="1" x14ac:dyDescent="0.15">
      <c r="A117" s="9"/>
    </row>
    <row r="118" spans="1:1" ht="15.75" customHeight="1" x14ac:dyDescent="0.15">
      <c r="A118" s="9"/>
    </row>
    <row r="119" spans="1:1" ht="15.75" customHeight="1" x14ac:dyDescent="0.15">
      <c r="A119" s="9"/>
    </row>
    <row r="120" spans="1:1" ht="15.75" customHeight="1" x14ac:dyDescent="0.15">
      <c r="A120" s="9"/>
    </row>
    <row r="121" spans="1:1" ht="15.75" customHeight="1" x14ac:dyDescent="0.15">
      <c r="A121" s="9"/>
    </row>
    <row r="122" spans="1:1" ht="15.75" customHeight="1" x14ac:dyDescent="0.15">
      <c r="A122" s="9"/>
    </row>
    <row r="123" spans="1:1" ht="15.75" customHeight="1" x14ac:dyDescent="0.15">
      <c r="A123" s="9"/>
    </row>
    <row r="124" spans="1:1" ht="15.75" customHeight="1" x14ac:dyDescent="0.15">
      <c r="A124" s="9"/>
    </row>
    <row r="125" spans="1:1" ht="15.75" customHeight="1" x14ac:dyDescent="0.15">
      <c r="A125" s="9"/>
    </row>
    <row r="126" spans="1:1" ht="15.75" customHeight="1" x14ac:dyDescent="0.15">
      <c r="A126" s="9"/>
    </row>
    <row r="127" spans="1:1" ht="15.75" customHeight="1" x14ac:dyDescent="0.15">
      <c r="A127" s="9"/>
    </row>
    <row r="128" spans="1:1" ht="15.75" customHeight="1" x14ac:dyDescent="0.15">
      <c r="A128" s="9"/>
    </row>
    <row r="129" spans="1:1" ht="15.75" customHeight="1" x14ac:dyDescent="0.15">
      <c r="A129" s="9"/>
    </row>
    <row r="130" spans="1:1" ht="15.75" customHeight="1" x14ac:dyDescent="0.15">
      <c r="A130" s="9"/>
    </row>
    <row r="131" spans="1:1" ht="15.75" customHeight="1" x14ac:dyDescent="0.15">
      <c r="A131" s="9"/>
    </row>
    <row r="132" spans="1:1" ht="15.75" customHeight="1" x14ac:dyDescent="0.15">
      <c r="A132" s="9"/>
    </row>
    <row r="133" spans="1:1" ht="15.75" customHeight="1" x14ac:dyDescent="0.15">
      <c r="A133" s="9"/>
    </row>
    <row r="134" spans="1:1" ht="15.75" customHeight="1" x14ac:dyDescent="0.15">
      <c r="A134" s="9"/>
    </row>
    <row r="135" spans="1:1" ht="15.75" customHeight="1" x14ac:dyDescent="0.15">
      <c r="A135" s="9"/>
    </row>
    <row r="136" spans="1:1" ht="15.75" customHeight="1" x14ac:dyDescent="0.15">
      <c r="A136" s="9"/>
    </row>
    <row r="137" spans="1:1" ht="15.75" customHeight="1" x14ac:dyDescent="0.15">
      <c r="A137" s="9"/>
    </row>
    <row r="138" spans="1:1" ht="15.75" customHeight="1" x14ac:dyDescent="0.15">
      <c r="A138" s="9"/>
    </row>
    <row r="139" spans="1:1" ht="15.75" customHeight="1" x14ac:dyDescent="0.15">
      <c r="A139" s="9"/>
    </row>
    <row r="140" spans="1:1" ht="15.75" customHeight="1" x14ac:dyDescent="0.15">
      <c r="A140" s="9"/>
    </row>
    <row r="141" spans="1:1" ht="15.75" customHeight="1" x14ac:dyDescent="0.15">
      <c r="A141" s="9"/>
    </row>
    <row r="142" spans="1:1" ht="15.75" customHeight="1" x14ac:dyDescent="0.15">
      <c r="A142" s="9"/>
    </row>
    <row r="143" spans="1:1" ht="15.75" customHeight="1" x14ac:dyDescent="0.15">
      <c r="A143" s="9"/>
    </row>
    <row r="144" spans="1:1" ht="15.75" customHeight="1" x14ac:dyDescent="0.15">
      <c r="A144" s="9"/>
    </row>
    <row r="145" spans="1:1" ht="15.75" customHeight="1" x14ac:dyDescent="0.15">
      <c r="A145" s="9"/>
    </row>
    <row r="146" spans="1:1" ht="15.75" customHeight="1" x14ac:dyDescent="0.15">
      <c r="A146" s="9"/>
    </row>
    <row r="147" spans="1:1" ht="15.75" customHeight="1" x14ac:dyDescent="0.15">
      <c r="A147" s="9"/>
    </row>
    <row r="148" spans="1:1" ht="15.75" customHeight="1" x14ac:dyDescent="0.15">
      <c r="A148" s="9"/>
    </row>
    <row r="149" spans="1:1" ht="15.75" customHeight="1" x14ac:dyDescent="0.15">
      <c r="A149" s="9"/>
    </row>
    <row r="150" spans="1:1" ht="15.75" customHeight="1" x14ac:dyDescent="0.15">
      <c r="A150" s="9"/>
    </row>
    <row r="151" spans="1:1" ht="15.75" customHeight="1" x14ac:dyDescent="0.15">
      <c r="A151" s="9"/>
    </row>
    <row r="152" spans="1:1" ht="15.75" customHeight="1" x14ac:dyDescent="0.15">
      <c r="A152" s="9"/>
    </row>
    <row r="153" spans="1:1" ht="15.75" customHeight="1" x14ac:dyDescent="0.15">
      <c r="A153" s="9"/>
    </row>
    <row r="154" spans="1:1" ht="15.75" customHeight="1" x14ac:dyDescent="0.15">
      <c r="A154" s="9"/>
    </row>
    <row r="155" spans="1:1" ht="15.75" customHeight="1" x14ac:dyDescent="0.15">
      <c r="A155" s="9"/>
    </row>
    <row r="156" spans="1:1" ht="15.75" customHeight="1" x14ac:dyDescent="0.15">
      <c r="A156" s="9"/>
    </row>
    <row r="157" spans="1:1" ht="15.75" customHeight="1" x14ac:dyDescent="0.15">
      <c r="A157" s="9"/>
    </row>
    <row r="158" spans="1:1" ht="15.75" customHeight="1" x14ac:dyDescent="0.15">
      <c r="A158" s="9"/>
    </row>
    <row r="159" spans="1:1" ht="15.75" customHeight="1" x14ac:dyDescent="0.15">
      <c r="A159" s="9"/>
    </row>
    <row r="160" spans="1:1" ht="15.75" customHeight="1" x14ac:dyDescent="0.15">
      <c r="A160" s="9"/>
    </row>
    <row r="161" spans="1:1" ht="15.75" customHeight="1" x14ac:dyDescent="0.15">
      <c r="A161" s="9"/>
    </row>
    <row r="162" spans="1:1" ht="15.75" customHeight="1" x14ac:dyDescent="0.15">
      <c r="A162" s="9"/>
    </row>
    <row r="163" spans="1:1" ht="15.75" customHeight="1" x14ac:dyDescent="0.15">
      <c r="A163" s="9"/>
    </row>
    <row r="164" spans="1:1" ht="15.75" customHeight="1" x14ac:dyDescent="0.15">
      <c r="A164" s="9"/>
    </row>
    <row r="165" spans="1:1" ht="15.75" customHeight="1" x14ac:dyDescent="0.15">
      <c r="A165" s="9"/>
    </row>
    <row r="166" spans="1:1" ht="15.75" customHeight="1" x14ac:dyDescent="0.15">
      <c r="A166" s="9"/>
    </row>
    <row r="167" spans="1:1" ht="15.75" customHeight="1" x14ac:dyDescent="0.15">
      <c r="A167" s="9"/>
    </row>
    <row r="168" spans="1:1" ht="15.75" customHeight="1" x14ac:dyDescent="0.15">
      <c r="A168" s="9"/>
    </row>
    <row r="169" spans="1:1" ht="15.75" customHeight="1" x14ac:dyDescent="0.15">
      <c r="A169" s="9"/>
    </row>
    <row r="170" spans="1:1" ht="15.75" customHeight="1" x14ac:dyDescent="0.15">
      <c r="A170" s="9"/>
    </row>
    <row r="171" spans="1:1" ht="15.75" customHeight="1" x14ac:dyDescent="0.15">
      <c r="A171" s="9"/>
    </row>
    <row r="172" spans="1:1" ht="15.75" customHeight="1" x14ac:dyDescent="0.15">
      <c r="A172" s="9"/>
    </row>
    <row r="173" spans="1:1" ht="15.75" customHeight="1" x14ac:dyDescent="0.15">
      <c r="A173" s="9"/>
    </row>
    <row r="174" spans="1:1" ht="15.75" customHeight="1" x14ac:dyDescent="0.15">
      <c r="A174" s="9"/>
    </row>
    <row r="175" spans="1:1" ht="15.75" customHeight="1" x14ac:dyDescent="0.15">
      <c r="A175" s="9"/>
    </row>
    <row r="176" spans="1:1" ht="15.75" customHeight="1" x14ac:dyDescent="0.15">
      <c r="A176" s="9"/>
    </row>
    <row r="177" spans="1:1" ht="15.75" customHeight="1" x14ac:dyDescent="0.15">
      <c r="A177" s="9"/>
    </row>
    <row r="178" spans="1:1" ht="15.75" customHeight="1" x14ac:dyDescent="0.15">
      <c r="A178" s="9"/>
    </row>
    <row r="179" spans="1:1" ht="15.75" customHeight="1" x14ac:dyDescent="0.15">
      <c r="A179" s="9"/>
    </row>
    <row r="180" spans="1:1" ht="15.75" customHeight="1" x14ac:dyDescent="0.15">
      <c r="A180" s="9"/>
    </row>
    <row r="181" spans="1:1" ht="15.75" customHeight="1" x14ac:dyDescent="0.15">
      <c r="A181" s="9"/>
    </row>
    <row r="182" spans="1:1" ht="15.75" customHeight="1" x14ac:dyDescent="0.15">
      <c r="A182" s="9"/>
    </row>
    <row r="183" spans="1:1" ht="15.75" customHeight="1" x14ac:dyDescent="0.15">
      <c r="A183" s="9"/>
    </row>
    <row r="184" spans="1:1" ht="15.75" customHeight="1" x14ac:dyDescent="0.15">
      <c r="A184" s="9"/>
    </row>
    <row r="185" spans="1:1" ht="15.75" customHeight="1" x14ac:dyDescent="0.15">
      <c r="A185" s="9"/>
    </row>
    <row r="186" spans="1:1" ht="15.75" customHeight="1" x14ac:dyDescent="0.15">
      <c r="A186" s="9"/>
    </row>
    <row r="187" spans="1:1" ht="15.75" customHeight="1" x14ac:dyDescent="0.15">
      <c r="A187" s="9"/>
    </row>
    <row r="188" spans="1:1" ht="15.75" customHeight="1" x14ac:dyDescent="0.15">
      <c r="A188" s="9"/>
    </row>
    <row r="189" spans="1:1" ht="15.75" customHeight="1" x14ac:dyDescent="0.15">
      <c r="A189" s="9"/>
    </row>
    <row r="190" spans="1:1" ht="15.75" customHeight="1" x14ac:dyDescent="0.15">
      <c r="A190" s="9"/>
    </row>
    <row r="191" spans="1:1" ht="15.75" customHeight="1" x14ac:dyDescent="0.15">
      <c r="A191" s="9"/>
    </row>
    <row r="192" spans="1:1" ht="15.75" customHeight="1" x14ac:dyDescent="0.15">
      <c r="A192" s="9"/>
    </row>
    <row r="193" spans="1:1" ht="15.75" customHeight="1" x14ac:dyDescent="0.15">
      <c r="A193" s="9"/>
    </row>
    <row r="194" spans="1:1" ht="15.75" customHeight="1" x14ac:dyDescent="0.15">
      <c r="A194" s="9"/>
    </row>
    <row r="195" spans="1:1" ht="15.75" customHeight="1" x14ac:dyDescent="0.15">
      <c r="A195" s="9"/>
    </row>
    <row r="196" spans="1:1" ht="15.75" customHeight="1" x14ac:dyDescent="0.15">
      <c r="A196" s="9"/>
    </row>
    <row r="197" spans="1:1" ht="15.75" customHeight="1" x14ac:dyDescent="0.15">
      <c r="A197" s="9"/>
    </row>
    <row r="198" spans="1:1" ht="15.75" customHeight="1" x14ac:dyDescent="0.15">
      <c r="A198" s="9"/>
    </row>
    <row r="199" spans="1:1" ht="15.75" customHeight="1" x14ac:dyDescent="0.15">
      <c r="A199" s="9"/>
    </row>
    <row r="200" spans="1:1" ht="15.75" customHeight="1" x14ac:dyDescent="0.15">
      <c r="A200" s="9"/>
    </row>
    <row r="201" spans="1:1" ht="15.75" customHeight="1" x14ac:dyDescent="0.15">
      <c r="A201" s="9"/>
    </row>
    <row r="202" spans="1:1" ht="15.75" customHeight="1" x14ac:dyDescent="0.15">
      <c r="A202" s="9"/>
    </row>
    <row r="203" spans="1:1" ht="15.75" customHeight="1" x14ac:dyDescent="0.15">
      <c r="A203" s="9"/>
    </row>
    <row r="204" spans="1:1" ht="15.75" customHeight="1" x14ac:dyDescent="0.15">
      <c r="A204" s="9"/>
    </row>
    <row r="205" spans="1:1" ht="15.75" customHeight="1" x14ac:dyDescent="0.15">
      <c r="A205" s="9"/>
    </row>
    <row r="206" spans="1:1" ht="15.75" customHeight="1" x14ac:dyDescent="0.15">
      <c r="A206" s="9"/>
    </row>
    <row r="207" spans="1:1" ht="15.75" customHeight="1" x14ac:dyDescent="0.15">
      <c r="A207" s="9"/>
    </row>
    <row r="208" spans="1:1" ht="15.75" customHeight="1" x14ac:dyDescent="0.15">
      <c r="A208" s="9"/>
    </row>
    <row r="209" spans="1:1" ht="15.75" customHeight="1" x14ac:dyDescent="0.15">
      <c r="A209" s="9"/>
    </row>
    <row r="210" spans="1:1" ht="15.75" customHeight="1" x14ac:dyDescent="0.15">
      <c r="A210" s="9"/>
    </row>
    <row r="211" spans="1:1" ht="15.75" customHeight="1" x14ac:dyDescent="0.15">
      <c r="A211" s="9"/>
    </row>
    <row r="212" spans="1:1" ht="15.75" customHeight="1" x14ac:dyDescent="0.15">
      <c r="A212" s="9"/>
    </row>
    <row r="213" spans="1:1" ht="15.75" customHeight="1" x14ac:dyDescent="0.15">
      <c r="A213" s="9"/>
    </row>
    <row r="214" spans="1:1" ht="15.75" customHeight="1" x14ac:dyDescent="0.15">
      <c r="A214" s="9"/>
    </row>
    <row r="215" spans="1:1" ht="15.75" customHeight="1" x14ac:dyDescent="0.15">
      <c r="A215" s="9"/>
    </row>
    <row r="216" spans="1:1" ht="15.75" customHeight="1" x14ac:dyDescent="0.15">
      <c r="A216" s="9"/>
    </row>
    <row r="217" spans="1:1" ht="15.75" customHeight="1" x14ac:dyDescent="0.15">
      <c r="A217" s="9"/>
    </row>
    <row r="218" spans="1:1" ht="15.75" customHeight="1" x14ac:dyDescent="0.15">
      <c r="A218" s="9"/>
    </row>
    <row r="219" spans="1:1" ht="15.75" customHeight="1" x14ac:dyDescent="0.15">
      <c r="A219" s="9"/>
    </row>
    <row r="220" spans="1:1" ht="15.75" customHeight="1" x14ac:dyDescent="0.15">
      <c r="A220" s="9"/>
    </row>
    <row r="221" spans="1:1" ht="15.75" customHeight="1" x14ac:dyDescent="0.15">
      <c r="A221" s="9"/>
    </row>
    <row r="222" spans="1:1" ht="15.75" customHeight="1" x14ac:dyDescent="0.15">
      <c r="A222" s="9"/>
    </row>
    <row r="223" spans="1:1" ht="15.75" customHeight="1" x14ac:dyDescent="0.15">
      <c r="A223" s="9"/>
    </row>
    <row r="224" spans="1:1" ht="15.75" customHeight="1" x14ac:dyDescent="0.15">
      <c r="A224" s="9"/>
    </row>
    <row r="225" spans="1:1" ht="15.75" customHeight="1" x14ac:dyDescent="0.15">
      <c r="A225" s="9"/>
    </row>
    <row r="226" spans="1:1" ht="15.75" customHeight="1" x14ac:dyDescent="0.15">
      <c r="A226" s="9"/>
    </row>
    <row r="227" spans="1:1" ht="15.75" customHeight="1" x14ac:dyDescent="0.15">
      <c r="A227" s="9"/>
    </row>
    <row r="228" spans="1:1" ht="15.75" customHeight="1" x14ac:dyDescent="0.15">
      <c r="A228" s="9"/>
    </row>
    <row r="229" spans="1:1" ht="15.75" customHeight="1" x14ac:dyDescent="0.15">
      <c r="A229" s="9"/>
    </row>
    <row r="230" spans="1:1" ht="15.75" customHeight="1" x14ac:dyDescent="0.15">
      <c r="A230" s="9"/>
    </row>
    <row r="231" spans="1:1" ht="15.75" customHeight="1" x14ac:dyDescent="0.15">
      <c r="A231" s="9"/>
    </row>
    <row r="232" spans="1:1" ht="15.75" customHeight="1" x14ac:dyDescent="0.15">
      <c r="A232" s="9"/>
    </row>
    <row r="233" spans="1:1" ht="15.75" customHeight="1" x14ac:dyDescent="0.15">
      <c r="A233" s="9"/>
    </row>
    <row r="234" spans="1:1" ht="15.75" customHeight="1" x14ac:dyDescent="0.15">
      <c r="A234" s="9"/>
    </row>
    <row r="235" spans="1:1" ht="15.75" customHeight="1" x14ac:dyDescent="0.15">
      <c r="A235" s="9"/>
    </row>
    <row r="236" spans="1:1" ht="15.75" customHeight="1" x14ac:dyDescent="0.15">
      <c r="A236" s="9"/>
    </row>
    <row r="237" spans="1:1" ht="15.75" customHeight="1" x14ac:dyDescent="0.15">
      <c r="A237" s="9"/>
    </row>
    <row r="238" spans="1:1" ht="15.75" customHeight="1" x14ac:dyDescent="0.15">
      <c r="A238" s="9"/>
    </row>
    <row r="239" spans="1:1" ht="15.75" customHeight="1" x14ac:dyDescent="0.15">
      <c r="A239" s="9"/>
    </row>
    <row r="240" spans="1:1" ht="15.75" customHeight="1" x14ac:dyDescent="0.15">
      <c r="A240" s="9"/>
    </row>
    <row r="241" spans="1:1" ht="15.75" customHeight="1" x14ac:dyDescent="0.15">
      <c r="A241" s="9"/>
    </row>
    <row r="242" spans="1:1" ht="15.75" customHeight="1" x14ac:dyDescent="0.15">
      <c r="A242" s="9"/>
    </row>
    <row r="243" spans="1:1" ht="15.75" customHeight="1" x14ac:dyDescent="0.15">
      <c r="A243" s="9"/>
    </row>
    <row r="244" spans="1:1" ht="15.75" customHeight="1" x14ac:dyDescent="0.15">
      <c r="A244" s="9"/>
    </row>
    <row r="245" spans="1:1" ht="15.75" customHeight="1" x14ac:dyDescent="0.15">
      <c r="A245" s="9"/>
    </row>
    <row r="246" spans="1:1" ht="15.75" customHeight="1" x14ac:dyDescent="0.15">
      <c r="A246" s="9"/>
    </row>
    <row r="247" spans="1:1" ht="15.75" customHeight="1" x14ac:dyDescent="0.15">
      <c r="A247" s="9"/>
    </row>
    <row r="248" spans="1:1" ht="15.75" customHeight="1" x14ac:dyDescent="0.15">
      <c r="A248" s="9"/>
    </row>
    <row r="249" spans="1:1" ht="15.75" customHeight="1" x14ac:dyDescent="0.15">
      <c r="A249" s="9"/>
    </row>
    <row r="250" spans="1:1" ht="15.75" customHeight="1" x14ac:dyDescent="0.15">
      <c r="A250" s="9"/>
    </row>
    <row r="251" spans="1:1" ht="15.75" customHeight="1" x14ac:dyDescent="0.15">
      <c r="A251" s="9"/>
    </row>
    <row r="252" spans="1:1" ht="15.75" customHeight="1" x14ac:dyDescent="0.15">
      <c r="A252" s="9"/>
    </row>
    <row r="253" spans="1:1" ht="15.75" customHeight="1" x14ac:dyDescent="0.15">
      <c r="A253" s="9"/>
    </row>
    <row r="254" spans="1:1" ht="15.75" customHeight="1" x14ac:dyDescent="0.15">
      <c r="A254" s="9"/>
    </row>
    <row r="255" spans="1:1" ht="15.75" customHeight="1" x14ac:dyDescent="0.15">
      <c r="A255" s="9"/>
    </row>
    <row r="256" spans="1:1" ht="15.75" customHeight="1" x14ac:dyDescent="0.15">
      <c r="A256" s="9"/>
    </row>
    <row r="257" spans="1:1" ht="15.75" customHeight="1" x14ac:dyDescent="0.15">
      <c r="A257" s="9"/>
    </row>
    <row r="258" spans="1:1" ht="15.75" customHeight="1" x14ac:dyDescent="0.15">
      <c r="A258" s="9"/>
    </row>
    <row r="259" spans="1:1" ht="15.75" customHeight="1" x14ac:dyDescent="0.15">
      <c r="A259" s="9"/>
    </row>
    <row r="260" spans="1:1" ht="15.75" customHeight="1" x14ac:dyDescent="0.15">
      <c r="A260" s="9"/>
    </row>
    <row r="261" spans="1:1" ht="15.75" customHeight="1" x14ac:dyDescent="0.15">
      <c r="A261" s="9"/>
    </row>
    <row r="262" spans="1:1" ht="15.75" customHeight="1" x14ac:dyDescent="0.15">
      <c r="A262" s="9"/>
    </row>
    <row r="263" spans="1:1" ht="15.75" customHeight="1" x14ac:dyDescent="0.15">
      <c r="A263" s="9"/>
    </row>
    <row r="264" spans="1:1" ht="15.75" customHeight="1" x14ac:dyDescent="0.15">
      <c r="A264" s="9"/>
    </row>
    <row r="265" spans="1:1" ht="15.75" customHeight="1" x14ac:dyDescent="0.15">
      <c r="A265" s="9"/>
    </row>
    <row r="266" spans="1:1" ht="15.75" customHeight="1" x14ac:dyDescent="0.15">
      <c r="A266" s="9"/>
    </row>
    <row r="267" spans="1:1" ht="15.75" customHeight="1" x14ac:dyDescent="0.15">
      <c r="A267" s="9"/>
    </row>
    <row r="268" spans="1:1" ht="15.75" customHeight="1" x14ac:dyDescent="0.15">
      <c r="A268" s="9"/>
    </row>
    <row r="269" spans="1:1" ht="15.75" customHeight="1" x14ac:dyDescent="0.15">
      <c r="A269" s="9"/>
    </row>
    <row r="270" spans="1:1" ht="15.75" customHeight="1" x14ac:dyDescent="0.15">
      <c r="A270" s="9"/>
    </row>
    <row r="271" spans="1:1" ht="15.75" customHeight="1" x14ac:dyDescent="0.15">
      <c r="A271" s="9"/>
    </row>
    <row r="272" spans="1:1" ht="15.75" customHeight="1" x14ac:dyDescent="0.15">
      <c r="A272" s="9"/>
    </row>
    <row r="273" spans="1:1" ht="15.75" customHeight="1" x14ac:dyDescent="0.15">
      <c r="A273" s="9"/>
    </row>
    <row r="274" spans="1:1" ht="15.75" customHeight="1" x14ac:dyDescent="0.15">
      <c r="A274" s="9"/>
    </row>
    <row r="275" spans="1:1" ht="15.75" customHeight="1" x14ac:dyDescent="0.15">
      <c r="A275" s="9"/>
    </row>
    <row r="276" spans="1:1" ht="15.75" customHeight="1" x14ac:dyDescent="0.15">
      <c r="A276" s="9"/>
    </row>
    <row r="277" spans="1:1" ht="15.75" customHeight="1" x14ac:dyDescent="0.15">
      <c r="A277" s="9"/>
    </row>
    <row r="278" spans="1:1" ht="15.75" customHeight="1" x14ac:dyDescent="0.15">
      <c r="A278" s="9"/>
    </row>
    <row r="279" spans="1:1" ht="15.75" customHeight="1" x14ac:dyDescent="0.15">
      <c r="A279" s="9"/>
    </row>
    <row r="280" spans="1:1" ht="15.75" customHeight="1" x14ac:dyDescent="0.15">
      <c r="A280" s="9"/>
    </row>
    <row r="281" spans="1:1" ht="15.75" customHeight="1" x14ac:dyDescent="0.15">
      <c r="A281" s="9"/>
    </row>
    <row r="282" spans="1:1" ht="15.75" customHeight="1" x14ac:dyDescent="0.15">
      <c r="A282" s="9"/>
    </row>
    <row r="283" spans="1:1" ht="15.75" customHeight="1" x14ac:dyDescent="0.15"/>
    <row r="284" spans="1:1" ht="15.75" customHeight="1" x14ac:dyDescent="0.15"/>
    <row r="285" spans="1:1" ht="15.75" customHeight="1" x14ac:dyDescent="0.15"/>
    <row r="286" spans="1:1" ht="15.75" customHeight="1" x14ac:dyDescent="0.15"/>
    <row r="287" spans="1:1" ht="15.75" customHeight="1" x14ac:dyDescent="0.15"/>
    <row r="288" spans="1:1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</sheetData>
  <mergeCells count="4">
    <mergeCell ref="D52:E52"/>
    <mergeCell ref="D54:E54"/>
    <mergeCell ref="D55:E55"/>
    <mergeCell ref="D51:E51"/>
  </mergeCells>
  <conditionalFormatting sqref="B54:F76">
    <cfRule type="expression" dxfId="9" priority="1">
      <formula>$D$52="No"</formula>
    </cfRule>
  </conditionalFormatting>
  <conditionalFormatting sqref="D44:M48 C7:M36">
    <cfRule type="containsBlanks" dxfId="8" priority="2">
      <formula>LEN(TRIM(C7))=0</formula>
    </cfRule>
  </conditionalFormatting>
  <conditionalFormatting sqref="D17:M17">
    <cfRule type="containsBlanks" dxfId="7" priority="3">
      <formula>LEN(TRIM(D17))=0</formula>
    </cfRule>
  </conditionalFormatting>
  <conditionalFormatting sqref="C38:M39 C41:M42">
    <cfRule type="containsBlanks" dxfId="6" priority="4">
      <formula>LEN(TRIM(C38))=0</formula>
    </cfRule>
  </conditionalFormatting>
  <dataValidations count="3">
    <dataValidation type="decimal" allowBlank="1" showDropDown="1" sqref="D54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D52" xr:uid="{00000000-0002-0000-0100-000003000000}">
      <formula1>"Yes,No"</formula1>
    </dataValidation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6D7A8"/>
    <outlinePr summaryBelow="0" summaryRight="0"/>
  </sheetPr>
  <dimension ref="A2:I54"/>
  <sheetViews>
    <sheetView showGridLines="0" topLeftCell="A9" workbookViewId="0">
      <selection activeCell="C33" sqref="C33"/>
    </sheetView>
  </sheetViews>
  <sheetFormatPr baseColWidth="10" defaultColWidth="12.5" defaultRowHeight="15" customHeight="1" x14ac:dyDescent="0.15"/>
  <cols>
    <col min="1" max="1" width="2.5" style="3" customWidth="1"/>
    <col min="2" max="2" width="27" style="3" customWidth="1"/>
    <col min="3" max="5" width="17.5" style="3" customWidth="1"/>
    <col min="6" max="6" width="7.5" style="3" customWidth="1"/>
    <col min="7" max="7" width="17.5" style="3" customWidth="1"/>
    <col min="8" max="16384" width="12.5" style="3"/>
  </cols>
  <sheetData>
    <row r="2" spans="1:9" ht="15" customHeight="1" x14ac:dyDescent="0.2">
      <c r="A2" s="4"/>
      <c r="B2" s="365" t="s">
        <v>117</v>
      </c>
      <c r="C2" s="365"/>
      <c r="D2" s="365"/>
      <c r="E2" s="12"/>
      <c r="F2" s="12"/>
      <c r="G2" s="12"/>
      <c r="H2" s="12"/>
    </row>
    <row r="3" spans="1:9" ht="15" customHeight="1" x14ac:dyDescent="0.15">
      <c r="B3" s="5" t="s">
        <v>118</v>
      </c>
      <c r="C3" s="6"/>
      <c r="D3" s="95">
        <f>C39-H39</f>
        <v>2804928</v>
      </c>
      <c r="E3" s="6"/>
      <c r="F3" s="6"/>
      <c r="G3" s="6"/>
      <c r="H3" s="6"/>
    </row>
    <row r="4" spans="1:9" ht="15" customHeight="1" x14ac:dyDescent="0.15">
      <c r="D4" s="6"/>
      <c r="E4" s="24" t="s">
        <v>119</v>
      </c>
      <c r="H4" s="6"/>
    </row>
    <row r="5" spans="1:9" ht="15" customHeight="1" x14ac:dyDescent="0.15">
      <c r="B5" s="96" t="s">
        <v>120</v>
      </c>
      <c r="C5" s="6"/>
      <c r="D5" s="97">
        <f>E39-H39-E43</f>
        <v>2375791.2499999995</v>
      </c>
      <c r="E5" s="14">
        <f>1-D5/D3</f>
        <v>0.1529938558137679</v>
      </c>
      <c r="F5" s="6"/>
      <c r="G5" s="98" t="s">
        <v>121</v>
      </c>
      <c r="H5" s="28">
        <f>IF(Data!F3&lt;=0,"NNI",D6/((Data!F3*Dashboard!I12)/(Dashboard!I5/Data!C4)))</f>
        <v>25.79773978478277</v>
      </c>
      <c r="I5" s="6"/>
    </row>
    <row r="6" spans="1:9" ht="15" customHeight="1" x14ac:dyDescent="0.15">
      <c r="B6" s="69" t="s">
        <v>122</v>
      </c>
      <c r="D6" s="99">
        <f>(D5*Dashboard!I12*Data!C4)/Dashboard!I5</f>
        <v>2.0230326562603089</v>
      </c>
      <c r="E6" s="100"/>
      <c r="G6" s="98" t="s">
        <v>123</v>
      </c>
      <c r="H6" s="28">
        <f>D6/(Data!C28*Dashboard!I12*Data!C4/Common_Shares)</f>
        <v>0.84700614418623199</v>
      </c>
      <c r="I6" s="6"/>
    </row>
    <row r="7" spans="1:9" ht="15" customHeight="1" x14ac:dyDescent="0.15">
      <c r="D7" s="6"/>
      <c r="H7" s="6"/>
    </row>
    <row r="8" spans="1:9" ht="15" customHeight="1" x14ac:dyDescent="0.2">
      <c r="A8" s="4"/>
      <c r="B8" s="365" t="s">
        <v>124</v>
      </c>
      <c r="C8" s="365"/>
      <c r="D8" s="365"/>
      <c r="E8" s="8"/>
      <c r="F8" s="12"/>
      <c r="G8" s="12"/>
      <c r="H8" s="12"/>
    </row>
    <row r="9" spans="1:9" ht="15" customHeight="1" x14ac:dyDescent="0.15">
      <c r="B9" s="5" t="s">
        <v>125</v>
      </c>
      <c r="C9" s="24" t="s">
        <v>126</v>
      </c>
      <c r="D9" s="24" t="s">
        <v>127</v>
      </c>
      <c r="E9" s="24" t="s">
        <v>128</v>
      </c>
      <c r="F9" s="6"/>
      <c r="G9" s="101" t="s">
        <v>129</v>
      </c>
      <c r="H9" s="24" t="s">
        <v>126</v>
      </c>
    </row>
    <row r="10" spans="1:9" ht="15" customHeight="1" x14ac:dyDescent="0.15">
      <c r="B10" s="5" t="s">
        <v>130</v>
      </c>
      <c r="C10" s="102">
        <f>631326+1567125</f>
        <v>2198451</v>
      </c>
      <c r="D10" s="103">
        <v>1</v>
      </c>
      <c r="E10" s="31">
        <f>C10*D10</f>
        <v>2198451</v>
      </c>
      <c r="F10" s="6"/>
      <c r="G10" s="5" t="s">
        <v>131</v>
      </c>
      <c r="H10" s="102">
        <v>0</v>
      </c>
      <c r="I10" s="6"/>
    </row>
    <row r="11" spans="1:9" ht="14" x14ac:dyDescent="0.15">
      <c r="B11" s="5" t="s">
        <v>132</v>
      </c>
      <c r="C11" s="102">
        <v>0</v>
      </c>
      <c r="D11" s="103">
        <v>1</v>
      </c>
      <c r="E11" s="31">
        <f t="shared" ref="E11:E17" si="0">C11*D11</f>
        <v>0</v>
      </c>
      <c r="F11" s="6"/>
      <c r="G11" s="5" t="s">
        <v>133</v>
      </c>
      <c r="H11" s="102">
        <v>0</v>
      </c>
      <c r="I11" s="6"/>
    </row>
    <row r="12" spans="1:9" ht="14" x14ac:dyDescent="0.15">
      <c r="B12" s="5" t="s">
        <v>134</v>
      </c>
      <c r="C12" s="102">
        <v>228592</v>
      </c>
      <c r="D12" s="103">
        <v>1</v>
      </c>
      <c r="E12" s="31">
        <f t="shared" si="0"/>
        <v>228592</v>
      </c>
      <c r="F12" s="6"/>
      <c r="G12" s="5" t="s">
        <v>135</v>
      </c>
      <c r="H12" s="102">
        <v>6810</v>
      </c>
      <c r="I12" s="6"/>
    </row>
    <row r="13" spans="1:9" ht="14" x14ac:dyDescent="0.15">
      <c r="B13" s="5" t="s">
        <v>136</v>
      </c>
      <c r="C13" s="102">
        <f>119854+128688</f>
        <v>248542</v>
      </c>
      <c r="D13" s="103">
        <v>0.5</v>
      </c>
      <c r="E13" s="31">
        <f t="shared" si="0"/>
        <v>124271</v>
      </c>
      <c r="F13" s="6"/>
      <c r="G13" s="5" t="s">
        <v>137</v>
      </c>
      <c r="H13" s="102">
        <f>299016+64535+37906</f>
        <v>401457</v>
      </c>
      <c r="I13" s="6"/>
    </row>
    <row r="14" spans="1:9" ht="14" x14ac:dyDescent="0.15">
      <c r="B14" s="5" t="s">
        <v>138</v>
      </c>
      <c r="C14" s="102">
        <v>0</v>
      </c>
      <c r="D14" s="103">
        <v>0.8</v>
      </c>
      <c r="E14" s="31">
        <f t="shared" si="0"/>
        <v>0</v>
      </c>
      <c r="F14" s="6"/>
      <c r="G14" s="5" t="s">
        <v>139</v>
      </c>
      <c r="H14" s="102">
        <v>0</v>
      </c>
      <c r="I14" s="6"/>
    </row>
    <row r="15" spans="1:9" ht="14" x14ac:dyDescent="0.15">
      <c r="B15" s="5" t="s">
        <v>140</v>
      </c>
      <c r="C15" s="102">
        <v>217</v>
      </c>
      <c r="D15" s="103">
        <v>0.95</v>
      </c>
      <c r="E15" s="31">
        <f t="shared" si="0"/>
        <v>206.14999999999998</v>
      </c>
      <c r="F15" s="6"/>
      <c r="G15" s="5" t="s">
        <v>141</v>
      </c>
      <c r="H15" s="102">
        <v>13491</v>
      </c>
      <c r="I15" s="6"/>
    </row>
    <row r="16" spans="1:9" ht="14" x14ac:dyDescent="0.15">
      <c r="B16" s="5" t="s">
        <v>142</v>
      </c>
      <c r="C16" s="102">
        <v>162986</v>
      </c>
      <c r="D16" s="103">
        <v>0.3</v>
      </c>
      <c r="E16" s="31">
        <f t="shared" si="0"/>
        <v>48895.799999999996</v>
      </c>
      <c r="F16" s="6"/>
      <c r="G16" s="5" t="s">
        <v>143</v>
      </c>
      <c r="H16" s="102">
        <v>0</v>
      </c>
      <c r="I16" s="6"/>
    </row>
    <row r="17" spans="2:9" ht="14" x14ac:dyDescent="0.15">
      <c r="B17" s="5" t="s">
        <v>144</v>
      </c>
      <c r="C17" s="102">
        <v>0</v>
      </c>
      <c r="D17" s="103">
        <v>0</v>
      </c>
      <c r="E17" s="31">
        <f t="shared" si="0"/>
        <v>0</v>
      </c>
      <c r="F17" s="6"/>
      <c r="H17" s="6"/>
    </row>
    <row r="18" spans="2:9" ht="15" customHeight="1" x14ac:dyDescent="0.15">
      <c r="C18" s="6"/>
      <c r="D18" s="6"/>
      <c r="E18" s="6"/>
      <c r="H18" s="6"/>
    </row>
    <row r="19" spans="2:9" ht="15" customHeight="1" x14ac:dyDescent="0.15">
      <c r="B19" s="104" t="s">
        <v>145</v>
      </c>
      <c r="C19" s="105">
        <f>SUM(C10:C12)+C14</f>
        <v>2427043</v>
      </c>
      <c r="D19" s="106">
        <f t="shared" ref="D19:D21" si="1">E19/C19</f>
        <v>1</v>
      </c>
      <c r="E19" s="107">
        <f>SUM(E10:E12)+E14</f>
        <v>2427043</v>
      </c>
      <c r="F19" s="6"/>
      <c r="G19" s="104" t="s">
        <v>146</v>
      </c>
      <c r="H19" s="108">
        <f t="shared" ref="H19:H20" si="2">E19/$H$21</f>
        <v>5.7545867535411306</v>
      </c>
      <c r="I19" s="13" t="str">
        <f>IF(H19&lt;1,"Liquidity Problem!","")</f>
        <v/>
      </c>
    </row>
    <row r="20" spans="2:9" ht="15" customHeight="1" x14ac:dyDescent="0.15">
      <c r="B20" s="104" t="s">
        <v>147</v>
      </c>
      <c r="C20" s="105">
        <f>C19+C13</f>
        <v>2675585</v>
      </c>
      <c r="D20" s="106">
        <f t="shared" si="1"/>
        <v>0.95355370881508161</v>
      </c>
      <c r="E20" s="31">
        <f>E19+E13</f>
        <v>2551314</v>
      </c>
      <c r="F20" s="6"/>
      <c r="G20" s="104" t="s">
        <v>148</v>
      </c>
      <c r="H20" s="108">
        <f t="shared" si="2"/>
        <v>6.0492367661075779</v>
      </c>
      <c r="I20" s="13"/>
    </row>
    <row r="21" spans="2:9" ht="15" customHeight="1" x14ac:dyDescent="0.15">
      <c r="B21" s="5" t="s">
        <v>149</v>
      </c>
      <c r="C21" s="105">
        <f>SUM(C10:C17)</f>
        <v>2838788</v>
      </c>
      <c r="D21" s="14">
        <f t="shared" si="1"/>
        <v>0.91603034464003641</v>
      </c>
      <c r="E21" s="31">
        <f>SUM(E10:E17)</f>
        <v>2600415.9499999997</v>
      </c>
      <c r="F21" s="6"/>
      <c r="G21" s="5" t="s">
        <v>62</v>
      </c>
      <c r="H21" s="105">
        <f>SUM(H10:H16)</f>
        <v>421758</v>
      </c>
      <c r="I21" s="13"/>
    </row>
    <row r="22" spans="2:9" ht="15" customHeight="1" x14ac:dyDescent="0.15">
      <c r="C22" s="6"/>
      <c r="D22" s="6"/>
      <c r="E22" s="6"/>
      <c r="H22" s="6"/>
    </row>
    <row r="23" spans="2:9" ht="15" customHeight="1" x14ac:dyDescent="0.15">
      <c r="B23" s="5" t="s">
        <v>150</v>
      </c>
      <c r="C23" s="102">
        <f>165650+3388</f>
        <v>169038</v>
      </c>
      <c r="D23" s="103">
        <v>0.3</v>
      </c>
      <c r="E23" s="31">
        <f t="shared" ref="E23:E31" si="3">C23*D23</f>
        <v>50711.4</v>
      </c>
      <c r="F23" s="6"/>
      <c r="G23" s="5" t="s">
        <v>151</v>
      </c>
      <c r="H23" s="102">
        <v>0</v>
      </c>
      <c r="I23" s="6"/>
    </row>
    <row r="24" spans="2:9" ht="15" customHeight="1" x14ac:dyDescent="0.15">
      <c r="B24" s="5" t="s">
        <v>152</v>
      </c>
      <c r="C24" s="102">
        <v>26908</v>
      </c>
      <c r="D24" s="103">
        <v>0.5</v>
      </c>
      <c r="E24" s="31">
        <f t="shared" si="3"/>
        <v>13454</v>
      </c>
      <c r="F24" s="6"/>
      <c r="G24" s="5" t="s">
        <v>153</v>
      </c>
      <c r="H24" s="102">
        <v>12866</v>
      </c>
      <c r="I24" s="6"/>
    </row>
    <row r="25" spans="2:9" ht="15" customHeight="1" x14ac:dyDescent="0.15">
      <c r="B25" s="5" t="s">
        <v>154</v>
      </c>
      <c r="C25" s="102">
        <v>0</v>
      </c>
      <c r="D25" s="103">
        <v>0.85</v>
      </c>
      <c r="E25" s="31">
        <f t="shared" si="3"/>
        <v>0</v>
      </c>
      <c r="F25" s="6"/>
      <c r="G25" s="5" t="s">
        <v>155</v>
      </c>
      <c r="H25" s="102">
        <v>0</v>
      </c>
      <c r="I25" s="6"/>
    </row>
    <row r="26" spans="2:9" ht="15" customHeight="1" x14ac:dyDescent="0.15">
      <c r="B26" s="5" t="s">
        <v>156</v>
      </c>
      <c r="C26" s="102">
        <v>135224</v>
      </c>
      <c r="D26" s="103">
        <v>0.6</v>
      </c>
      <c r="E26" s="31">
        <f t="shared" si="3"/>
        <v>81134.399999999994</v>
      </c>
      <c r="F26" s="6"/>
      <c r="G26" s="5" t="s">
        <v>157</v>
      </c>
      <c r="H26" s="102">
        <v>0</v>
      </c>
      <c r="I26" s="6"/>
    </row>
    <row r="27" spans="2:9" ht="14" x14ac:dyDescent="0.15">
      <c r="B27" s="5" t="s">
        <v>158</v>
      </c>
      <c r="C27" s="102">
        <v>0</v>
      </c>
      <c r="D27" s="103">
        <v>0.1</v>
      </c>
      <c r="E27" s="31">
        <f t="shared" si="3"/>
        <v>0</v>
      </c>
      <c r="F27" s="6"/>
      <c r="G27" s="5" t="s">
        <v>159</v>
      </c>
      <c r="H27" s="102">
        <v>2656</v>
      </c>
      <c r="I27" s="6"/>
    </row>
    <row r="28" spans="2:9" ht="14" x14ac:dyDescent="0.15">
      <c r="B28" s="5" t="s">
        <v>160</v>
      </c>
      <c r="C28" s="102">
        <v>0</v>
      </c>
      <c r="D28" s="103">
        <v>0.8</v>
      </c>
      <c r="E28" s="31">
        <f t="shared" si="3"/>
        <v>0</v>
      </c>
      <c r="F28" s="6"/>
      <c r="G28" s="5" t="s">
        <v>161</v>
      </c>
      <c r="H28" s="102">
        <v>0</v>
      </c>
      <c r="I28" s="6"/>
    </row>
    <row r="29" spans="2:9" ht="14" x14ac:dyDescent="0.15">
      <c r="B29" s="5" t="s">
        <v>162</v>
      </c>
      <c r="C29" s="102">
        <v>0</v>
      </c>
      <c r="D29" s="103">
        <v>0</v>
      </c>
      <c r="E29" s="31">
        <f t="shared" si="3"/>
        <v>0</v>
      </c>
      <c r="F29" s="6"/>
      <c r="H29" s="6"/>
    </row>
    <row r="30" spans="2:9" ht="15" customHeight="1" x14ac:dyDescent="0.15">
      <c r="B30" s="5" t="s">
        <v>163</v>
      </c>
      <c r="C30" s="102">
        <v>72250</v>
      </c>
      <c r="D30" s="103">
        <v>0.95</v>
      </c>
      <c r="E30" s="31">
        <f t="shared" si="3"/>
        <v>68637.5</v>
      </c>
      <c r="F30" s="6"/>
    </row>
    <row r="31" spans="2:9" ht="14" x14ac:dyDescent="0.15">
      <c r="B31" s="5" t="s">
        <v>164</v>
      </c>
      <c r="C31" s="102">
        <v>0</v>
      </c>
      <c r="D31" s="103">
        <v>0.2</v>
      </c>
      <c r="E31" s="31">
        <f t="shared" si="3"/>
        <v>0</v>
      </c>
      <c r="F31" s="6"/>
    </row>
    <row r="32" spans="2:9" ht="15" customHeight="1" x14ac:dyDescent="0.15">
      <c r="B32" s="5" t="s">
        <v>165</v>
      </c>
      <c r="C32" s="102">
        <v>0</v>
      </c>
      <c r="D32" s="103">
        <v>1</v>
      </c>
      <c r="E32" s="31">
        <v>0</v>
      </c>
      <c r="F32" s="6"/>
    </row>
    <row r="33" spans="2:9" ht="15" customHeight="1" x14ac:dyDescent="0.15">
      <c r="B33" s="5" t="s">
        <v>166</v>
      </c>
      <c r="C33" s="102">
        <v>0</v>
      </c>
      <c r="D33" s="103">
        <v>0</v>
      </c>
      <c r="E33" s="31">
        <f>C33*D33</f>
        <v>0</v>
      </c>
      <c r="F33" s="6"/>
    </row>
    <row r="34" spans="2:9" ht="15" customHeight="1" x14ac:dyDescent="0.15">
      <c r="C34" s="6"/>
      <c r="D34" s="6"/>
      <c r="E34" s="6"/>
      <c r="H34" s="6"/>
    </row>
    <row r="35" spans="2:9" ht="14" x14ac:dyDescent="0.15">
      <c r="B35" s="5" t="s">
        <v>167</v>
      </c>
      <c r="C35" s="105">
        <f>SUM(C23:C33)</f>
        <v>403420</v>
      </c>
      <c r="D35" s="14">
        <f>E35/C35</f>
        <v>0.53030910713400425</v>
      </c>
      <c r="E35" s="31">
        <f>SUM(E23:E33)</f>
        <v>213937.3</v>
      </c>
      <c r="F35" s="6"/>
      <c r="G35" s="5" t="s">
        <v>168</v>
      </c>
      <c r="H35" s="105">
        <f>SUM(H23:H28)</f>
        <v>15522</v>
      </c>
      <c r="I35" s="6"/>
    </row>
    <row r="36" spans="2:9" ht="15" customHeight="1" x14ac:dyDescent="0.15">
      <c r="C36" s="6"/>
      <c r="D36" s="6"/>
      <c r="E36" s="6"/>
      <c r="H36" s="6"/>
    </row>
    <row r="37" spans="2:9" ht="15" customHeight="1" x14ac:dyDescent="0.15">
      <c r="B37" s="104" t="s">
        <v>169</v>
      </c>
      <c r="C37" s="105">
        <f>C19+(C28+C29)+C32</f>
        <v>2427043</v>
      </c>
      <c r="D37" s="106">
        <f>E37/C37</f>
        <v>1</v>
      </c>
      <c r="E37" s="107">
        <f>E19+(E28+E29)+E32</f>
        <v>2427043</v>
      </c>
      <c r="F37" s="6"/>
      <c r="G37" s="104" t="s">
        <v>170</v>
      </c>
      <c r="H37" s="108">
        <f>E37/$H$39</f>
        <v>5.5503178741309913</v>
      </c>
      <c r="I37" s="13" t="str">
        <f>IF(H37&lt;1,"Liquidity Problem!","")</f>
        <v/>
      </c>
    </row>
    <row r="38" spans="2:9" ht="15" customHeight="1" x14ac:dyDescent="0.15">
      <c r="B38" s="104" t="s">
        <v>171</v>
      </c>
      <c r="C38" s="109">
        <f>C37+C31</f>
        <v>2427043</v>
      </c>
      <c r="D38" s="106">
        <f>E38/C38</f>
        <v>1</v>
      </c>
      <c r="E38" s="31">
        <f>E37+E31</f>
        <v>2427043</v>
      </c>
      <c r="F38" s="6"/>
      <c r="G38" s="104" t="s">
        <v>172</v>
      </c>
      <c r="H38" s="108">
        <f>E38/$H$39</f>
        <v>5.5503178741309913</v>
      </c>
      <c r="I38" s="6"/>
    </row>
    <row r="39" spans="2:9" ht="15" customHeight="1" x14ac:dyDescent="0.15">
      <c r="B39" s="5" t="s">
        <v>173</v>
      </c>
      <c r="C39" s="109">
        <f>C21+C35</f>
        <v>3242208</v>
      </c>
      <c r="D39" s="14">
        <f>E39/C39</f>
        <v>0.8680359958398719</v>
      </c>
      <c r="E39" s="31">
        <f>E21+E35</f>
        <v>2814353.2499999995</v>
      </c>
      <c r="F39" s="6"/>
      <c r="G39" s="5" t="s">
        <v>174</v>
      </c>
      <c r="H39" s="109">
        <f>H21+H35</f>
        <v>437280</v>
      </c>
      <c r="I39" s="6"/>
    </row>
    <row r="40" spans="2:9" ht="15" customHeight="1" x14ac:dyDescent="0.15">
      <c r="C40" s="6"/>
      <c r="D40" s="6"/>
      <c r="E40" s="6"/>
      <c r="H40" s="6"/>
    </row>
    <row r="41" spans="2:9" ht="14" x14ac:dyDescent="0.15">
      <c r="B41" s="22" t="s">
        <v>175</v>
      </c>
      <c r="C41" s="22"/>
      <c r="D41" s="68"/>
    </row>
    <row r="42" spans="2:9" ht="14" x14ac:dyDescent="0.15">
      <c r="B42" s="110" t="s">
        <v>176</v>
      </c>
      <c r="C42" s="5"/>
      <c r="D42" s="366"/>
      <c r="E42" s="366"/>
    </row>
    <row r="43" spans="2:9" ht="14" x14ac:dyDescent="0.15">
      <c r="B43" s="5" t="s">
        <v>177</v>
      </c>
      <c r="C43" s="111">
        <v>1282</v>
      </c>
      <c r="D43" s="64" t="str">
        <f>IF(E43=C43,"BV of the MI","P/B Approach")</f>
        <v>BV of the MI</v>
      </c>
      <c r="E43" s="31">
        <f>MAX(C43,C43*Dashboard!I10)</f>
        <v>1282</v>
      </c>
      <c r="F43" s="6"/>
    </row>
    <row r="44" spans="2:9" ht="15" customHeight="1" x14ac:dyDescent="0.15">
      <c r="C44" s="6"/>
      <c r="D44" s="6"/>
      <c r="E44" s="6"/>
    </row>
    <row r="45" spans="2:9" ht="14" x14ac:dyDescent="0.15">
      <c r="B45" s="5" t="s">
        <v>178</v>
      </c>
      <c r="C45" s="5"/>
      <c r="D45" s="366"/>
      <c r="E45" s="366"/>
      <c r="F45" s="69"/>
    </row>
    <row r="46" spans="2:9" ht="14" x14ac:dyDescent="0.15">
      <c r="B46" s="96" t="s">
        <v>179</v>
      </c>
      <c r="C46" s="6"/>
      <c r="D46" s="367">
        <v>0</v>
      </c>
      <c r="E46" s="333"/>
      <c r="F46" s="5"/>
    </row>
    <row r="47" spans="2:9" ht="14" x14ac:dyDescent="0.15">
      <c r="B47" s="96" t="s">
        <v>180</v>
      </c>
      <c r="C47" s="6"/>
      <c r="D47" s="367">
        <v>0</v>
      </c>
      <c r="E47" s="333"/>
      <c r="F47" s="6" t="s">
        <v>181</v>
      </c>
    </row>
    <row r="48" spans="2:9" ht="12.75" customHeight="1" x14ac:dyDescent="0.15">
      <c r="B48" s="69" t="s">
        <v>182</v>
      </c>
      <c r="C48" s="6"/>
      <c r="D48" s="350">
        <f>Data!C27+D46+D47</f>
        <v>19676</v>
      </c>
      <c r="E48" s="364"/>
      <c r="F48" s="5" t="s">
        <v>183</v>
      </c>
    </row>
    <row r="49" spans="2:7" ht="15" customHeight="1" x14ac:dyDescent="0.15">
      <c r="D49" s="6"/>
      <c r="E49" s="6"/>
    </row>
    <row r="50" spans="2:7" ht="14" x14ac:dyDescent="0.15">
      <c r="B50" s="5" t="s">
        <v>184</v>
      </c>
      <c r="C50" s="5"/>
      <c r="D50" s="366"/>
      <c r="E50" s="366"/>
      <c r="F50" s="19" t="s">
        <v>185</v>
      </c>
    </row>
    <row r="51" spans="2:7" ht="15" customHeight="1" x14ac:dyDescent="0.15">
      <c r="B51" s="69" t="s">
        <v>186</v>
      </c>
      <c r="C51" s="6"/>
      <c r="D51" s="368">
        <f>E11+E12+E25+E28+E29</f>
        <v>228592</v>
      </c>
      <c r="E51" s="369"/>
      <c r="F51" s="14">
        <f>1-(E12+E25+E28+E29)/(C12+C25+C28+C29)</f>
        <v>0</v>
      </c>
      <c r="G51" s="6"/>
    </row>
    <row r="52" spans="2:7" ht="14" x14ac:dyDescent="0.15">
      <c r="B52" s="69" t="s">
        <v>130</v>
      </c>
      <c r="C52" s="6"/>
      <c r="D52" s="350">
        <f>C10+C32</f>
        <v>2198451</v>
      </c>
      <c r="E52" s="364"/>
      <c r="F52" s="6"/>
    </row>
    <row r="53" spans="2:7" ht="14" x14ac:dyDescent="0.15">
      <c r="B53" s="69" t="s">
        <v>187</v>
      </c>
      <c r="C53" s="6"/>
      <c r="D53" s="350">
        <f>((Dashboard!I6*1000)+D48+E43-(C12+C25+C28+C29)-D52)</f>
        <v>260575.0959999999</v>
      </c>
      <c r="E53" s="364"/>
      <c r="F53" s="6"/>
    </row>
    <row r="54" spans="2:7" ht="15" customHeight="1" x14ac:dyDescent="0.15">
      <c r="D54" s="6"/>
      <c r="E54" s="6"/>
    </row>
  </sheetData>
  <mergeCells count="11">
    <mergeCell ref="D52:E52"/>
    <mergeCell ref="D53:E53"/>
    <mergeCell ref="B2:D2"/>
    <mergeCell ref="B8:D8"/>
    <mergeCell ref="D42:E42"/>
    <mergeCell ref="D45:E45"/>
    <mergeCell ref="D46:E46"/>
    <mergeCell ref="D47:E47"/>
    <mergeCell ref="D48:E48"/>
    <mergeCell ref="D50:E50"/>
    <mergeCell ref="D51:E51"/>
  </mergeCells>
  <dataValidations count="1">
    <dataValidation allowBlank="1" sqref="D43" xr:uid="{00000000-0002-0000-0200-000000000000}"/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B6D7A8"/>
    <outlinePr summaryBelow="0" summaryRight="0"/>
  </sheetPr>
  <dimension ref="A1:M960"/>
  <sheetViews>
    <sheetView showGridLines="0" topLeftCell="A5" zoomScale="125" workbookViewId="0">
      <selection activeCell="E4" sqref="E4"/>
    </sheetView>
  </sheetViews>
  <sheetFormatPr baseColWidth="10" defaultColWidth="12.5" defaultRowHeight="15" customHeight="1" x14ac:dyDescent="0.15"/>
  <cols>
    <col min="1" max="1" width="2.5" style="3" customWidth="1"/>
    <col min="2" max="2" width="26.83203125" style="3" customWidth="1"/>
    <col min="3" max="7" width="22.6640625" style="3" customWidth="1"/>
    <col min="8" max="8" width="2.5" style="3" customWidth="1"/>
    <col min="9" max="16384" width="12.5" style="3"/>
  </cols>
  <sheetData>
    <row r="1" spans="1:13" ht="15" customHeight="1" x14ac:dyDescent="0.15">
      <c r="C1" s="6"/>
      <c r="D1" s="6"/>
      <c r="E1" s="6"/>
    </row>
    <row r="2" spans="1:13" ht="15.75" customHeight="1" x14ac:dyDescent="0.15">
      <c r="A2" s="4"/>
      <c r="B2" s="187" t="s">
        <v>188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3" ht="15.75" customHeight="1" x14ac:dyDescent="0.15">
      <c r="A3" s="6"/>
      <c r="B3" s="112" t="s">
        <v>189</v>
      </c>
      <c r="C3" s="113">
        <v>4</v>
      </c>
      <c r="D3" s="114" t="str">
        <f>IF(E7="","next 1 years","next 3 years")</f>
        <v>next 3 years</v>
      </c>
      <c r="E3" s="114" t="s">
        <v>190</v>
      </c>
      <c r="F3" s="24"/>
      <c r="G3" s="6"/>
      <c r="H3" s="6"/>
      <c r="I3" s="6"/>
      <c r="J3" s="6"/>
      <c r="K3" s="6"/>
      <c r="L3" s="6"/>
    </row>
    <row r="4" spans="1:13" ht="15.75" customHeight="1" x14ac:dyDescent="0.15">
      <c r="A4" s="6"/>
      <c r="B4" s="115" t="s">
        <v>56</v>
      </c>
      <c r="C4" s="116" t="str">
        <f>Data!J4</f>
        <v>NA</v>
      </c>
      <c r="D4" s="117">
        <f>IF(E7="",D16/C16-1,(G16/C16)^(1/4)-1)</f>
        <v>-3.7209941284838455E-2</v>
      </c>
      <c r="E4" s="116">
        <f>IF(Dashboard!D10&gt;5%,5%,IF(Dashboard!D10&lt;3.5%,3.5%,Dashboard!D10))</f>
        <v>3.5000000000000003E-2</v>
      </c>
      <c r="F4" s="118" t="s">
        <v>191</v>
      </c>
    </row>
    <row r="5" spans="1:13" ht="15.75" customHeight="1" x14ac:dyDescent="0.15">
      <c r="B5" s="119"/>
      <c r="C5" s="6"/>
      <c r="D5" s="6"/>
      <c r="E5" s="6"/>
    </row>
    <row r="6" spans="1:13" ht="15.75" customHeight="1" x14ac:dyDescent="0.15">
      <c r="B6" s="34" t="str">
        <f>"(Numbers in "&amp;Data!C4&amp;Dashboard!I11&amp;")"</f>
        <v>(Numbers in 1000CNY)</v>
      </c>
      <c r="C6" s="33" t="str">
        <f>RIGHT(Data!C6,4)</f>
        <v>2021</v>
      </c>
      <c r="D6" s="33">
        <v>1</v>
      </c>
      <c r="E6" s="33" t="str">
        <f>"2 "&amp;IF(F7="","(Normalized)","(Base)")</f>
        <v>2 (Normalized)</v>
      </c>
      <c r="F6" s="33" t="str">
        <f>IF(F15="","","3 (Normalized)")</f>
        <v/>
      </c>
      <c r="G6" s="33" t="s">
        <v>192</v>
      </c>
      <c r="I6" s="120" t="s">
        <v>193</v>
      </c>
    </row>
    <row r="7" spans="1:13" ht="15.75" customHeight="1" x14ac:dyDescent="0.15">
      <c r="B7" s="5" t="s">
        <v>194</v>
      </c>
      <c r="C7" s="49">
        <f>Data!C8</f>
        <v>3.9363653347464389E-2</v>
      </c>
      <c r="D7" s="121">
        <f>D8/C8-1</f>
        <v>-0.19795840617876193</v>
      </c>
      <c r="E7" s="122">
        <v>0.1</v>
      </c>
      <c r="F7" s="222"/>
      <c r="G7" s="210"/>
      <c r="H7" s="6"/>
      <c r="I7" s="123"/>
    </row>
    <row r="8" spans="1:13" ht="15.75" customHeight="1" x14ac:dyDescent="0.15">
      <c r="B8" s="5" t="s">
        <v>195</v>
      </c>
      <c r="C8" s="124">
        <f>Data!C7</f>
        <v>1769157</v>
      </c>
      <c r="D8" s="228">
        <f>1021635/0.72</f>
        <v>1418937.5</v>
      </c>
      <c r="E8" s="220">
        <f>IF(E7="","",D8*(1+E7))</f>
        <v>1560831.2500000002</v>
      </c>
      <c r="F8" s="223"/>
      <c r="G8" s="210"/>
      <c r="H8" s="6"/>
      <c r="I8" s="123"/>
      <c r="M8" s="94"/>
    </row>
    <row r="9" spans="1:13" ht="15.75" customHeight="1" x14ac:dyDescent="0.15">
      <c r="B9" s="8" t="s">
        <v>196</v>
      </c>
      <c r="C9" s="60">
        <f>Data!C9</f>
        <v>981731</v>
      </c>
      <c r="D9" s="229">
        <f>D8*(1-D10)</f>
        <v>797017.19374999998</v>
      </c>
      <c r="E9" s="221">
        <f>IF(E7="","",E8*(1-E10))</f>
        <v>876718.91312500008</v>
      </c>
      <c r="F9" s="223"/>
      <c r="G9" s="210"/>
      <c r="H9" s="6"/>
      <c r="I9" s="224"/>
      <c r="M9" s="1"/>
    </row>
    <row r="10" spans="1:13" ht="15.75" customHeight="1" x14ac:dyDescent="0.15">
      <c r="B10" s="126" t="s">
        <v>197</v>
      </c>
      <c r="C10" s="49">
        <f>Data!C10</f>
        <v>0.44508542769239812</v>
      </c>
      <c r="D10" s="127">
        <v>0.43830000000000002</v>
      </c>
      <c r="E10" s="127">
        <f>D10</f>
        <v>0.43830000000000002</v>
      </c>
      <c r="F10" s="225"/>
      <c r="G10" s="210"/>
      <c r="H10" s="6"/>
      <c r="I10" s="123"/>
    </row>
    <row r="11" spans="1:13" ht="15.75" customHeight="1" x14ac:dyDescent="0.15">
      <c r="B11" s="5" t="s">
        <v>198</v>
      </c>
      <c r="C11" s="31">
        <f t="shared" ref="C11" si="0">C8-C9</f>
        <v>787426</v>
      </c>
      <c r="D11" s="58">
        <f>D8-D9</f>
        <v>621920.30625000002</v>
      </c>
      <c r="E11" s="58">
        <f>IF(E7="","",E8-E9)</f>
        <v>684112.33687500015</v>
      </c>
      <c r="F11" s="226"/>
      <c r="G11" s="210"/>
      <c r="H11" s="6"/>
      <c r="I11" s="123"/>
    </row>
    <row r="12" spans="1:13" ht="15.75" customHeight="1" x14ac:dyDescent="0.15">
      <c r="B12" s="126" t="s">
        <v>53</v>
      </c>
      <c r="C12" s="52">
        <f>Data!C12</f>
        <v>0.40438468717021719</v>
      </c>
      <c r="D12" s="128">
        <f>D13/D8</f>
        <v>0.43861692287362902</v>
      </c>
      <c r="E12" s="129">
        <v>0.4</v>
      </c>
      <c r="F12" s="225"/>
      <c r="G12" s="210"/>
      <c r="H12" s="6"/>
      <c r="I12" s="123"/>
    </row>
    <row r="13" spans="1:13" ht="15.75" customHeight="1" x14ac:dyDescent="0.15">
      <c r="B13" s="8" t="s">
        <v>199</v>
      </c>
      <c r="C13" s="130">
        <f>Data!C11</f>
        <v>715420</v>
      </c>
      <c r="D13" s="131">
        <f>(238532+72653)*2</f>
        <v>622370</v>
      </c>
      <c r="E13" s="125">
        <f>IF(E7="","",E8*E12)</f>
        <v>624332.50000000012</v>
      </c>
      <c r="F13" s="226"/>
      <c r="G13" s="210"/>
      <c r="H13" s="6"/>
      <c r="I13" s="123"/>
    </row>
    <row r="14" spans="1:13" ht="15.75" customHeight="1" x14ac:dyDescent="0.15">
      <c r="B14" s="126" t="s">
        <v>200</v>
      </c>
      <c r="C14" s="18">
        <f>Data!C13</f>
        <v>4.0700740522180902E-2</v>
      </c>
      <c r="D14" s="121">
        <f>D16/D8</f>
        <v>-3.1692287362901941E-4</v>
      </c>
      <c r="E14" s="121">
        <f>IF(E7="","",E16/E8)</f>
        <v>3.8300000000000022E-2</v>
      </c>
      <c r="F14" s="227"/>
      <c r="G14" s="210"/>
      <c r="H14" s="6"/>
      <c r="I14" s="123"/>
      <c r="M14" s="94"/>
    </row>
    <row r="15" spans="1:13" ht="15.75" customHeight="1" x14ac:dyDescent="0.15">
      <c r="B15" s="132" t="s">
        <v>201</v>
      </c>
      <c r="C15" s="14">
        <f>Data!C15</f>
        <v>-0.73883617688022285</v>
      </c>
      <c r="D15" s="128" t="str">
        <f>IF(ABS(C16+D16)=ABS(C16)+ABS(D16),IF(D16&lt;0,-1,1)*(D16-C16)/C16,"Turn")</f>
        <v>Turn</v>
      </c>
      <c r="E15" s="128" t="str">
        <f>IF(E7="","",IF(ABS(D16+E16)=ABS(D16)+ABS(E16),IF(E16&lt;0,-1,1)*(E16-D16)/D16,"Turn"))</f>
        <v>Turn</v>
      </c>
      <c r="F15" s="230"/>
      <c r="G15" s="133">
        <f>G19*G20</f>
        <v>3.5000000000000003E-2</v>
      </c>
      <c r="H15" s="6"/>
      <c r="I15" s="134" t="s">
        <v>202</v>
      </c>
      <c r="K15" s="135"/>
      <c r="M15" s="135"/>
    </row>
    <row r="16" spans="1:13" ht="15.75" customHeight="1" x14ac:dyDescent="0.15">
      <c r="B16" s="5" t="s">
        <v>55</v>
      </c>
      <c r="C16" s="31">
        <f>IF(Data!D52="No",Data!C71,Data!D71)</f>
        <v>72006</v>
      </c>
      <c r="D16" s="58">
        <f>D11-D13</f>
        <v>-449.69374999997672</v>
      </c>
      <c r="E16" s="58">
        <f>IF(E7="","",E11-E13)</f>
        <v>59779.836875000037</v>
      </c>
      <c r="F16" s="58" t="str">
        <f>IF(F15="","",E16*(1+F15))</f>
        <v/>
      </c>
      <c r="G16" s="31">
        <f>IF(F15="",IF(E15="",C28,E16*(1+G15)),F16*(1+G15))</f>
        <v>61872.131165625033</v>
      </c>
      <c r="H16" s="6"/>
      <c r="I16" s="136"/>
      <c r="K16" s="93"/>
      <c r="M16" s="93"/>
    </row>
    <row r="17" spans="2:13" ht="15.75" customHeight="1" x14ac:dyDescent="0.15">
      <c r="B17" s="20" t="s">
        <v>203</v>
      </c>
      <c r="C17" s="211"/>
      <c r="D17" s="137">
        <v>0.25</v>
      </c>
      <c r="E17" s="35">
        <f>IF(E7="","",D17)</f>
        <v>0.25</v>
      </c>
      <c r="F17" s="35" t="str">
        <f>IF(F15="","",D17)</f>
        <v/>
      </c>
      <c r="G17" s="63">
        <f>D17</f>
        <v>0.25</v>
      </c>
      <c r="H17" s="6"/>
      <c r="I17" s="135"/>
      <c r="K17" s="94"/>
      <c r="M17" s="94"/>
    </row>
    <row r="18" spans="2:13" ht="15.75" customHeight="1" x14ac:dyDescent="0.15">
      <c r="B18" s="5" t="s">
        <v>110</v>
      </c>
      <c r="C18" s="138">
        <f>IF(Data!D52="No",Data!C74,Data!D74)</f>
        <v>54004.5</v>
      </c>
      <c r="D18" s="139">
        <f>IF(D16&lt;=0,D16,D16*(1-D17))</f>
        <v>-449.69374999997672</v>
      </c>
      <c r="E18" s="139">
        <f>IF(E7="","",IF(E16&lt;=0,E16,E16*(1-E17)))</f>
        <v>44834.877656250028</v>
      </c>
      <c r="F18" s="139" t="str">
        <f>IF(F15="","",IF(F16&lt;=0,F16,F16*(1-F17)))</f>
        <v/>
      </c>
      <c r="G18" s="138">
        <f>G16*(1-G17)</f>
        <v>46404.098374218775</v>
      </c>
      <c r="H18" s="6"/>
      <c r="I18" s="140"/>
      <c r="K18" s="93"/>
      <c r="M18" s="93"/>
    </row>
    <row r="19" spans="2:13" ht="15.75" hidden="1" customHeight="1" x14ac:dyDescent="0.15">
      <c r="B19" s="17" t="s">
        <v>204</v>
      </c>
      <c r="C19" s="141"/>
      <c r="D19" s="141"/>
      <c r="E19" s="141"/>
      <c r="F19" s="32"/>
      <c r="G19" s="14">
        <f>G23</f>
        <v>7.6999999999999999E-2</v>
      </c>
      <c r="H19" s="6"/>
      <c r="I19" s="123" t="s">
        <v>205</v>
      </c>
      <c r="K19" s="94"/>
      <c r="M19" s="94"/>
    </row>
    <row r="20" spans="2:13" ht="15.75" customHeight="1" x14ac:dyDescent="0.15">
      <c r="B20" s="17" t="s">
        <v>75</v>
      </c>
      <c r="C20" s="14">
        <f t="shared" ref="C20" si="1">C21/C18</f>
        <v>0.53398247923784126</v>
      </c>
      <c r="D20" s="32">
        <f>IF(E7="",G20,D21/D18)</f>
        <v>-64.126879237262017</v>
      </c>
      <c r="E20" s="103"/>
      <c r="F20" s="32" t="str">
        <f>IF(F15="","",G15/G19)</f>
        <v/>
      </c>
      <c r="G20" s="14">
        <f>E4/G19</f>
        <v>0.45454545454545459</v>
      </c>
      <c r="H20" s="6"/>
      <c r="I20" s="134" t="s">
        <v>206</v>
      </c>
    </row>
    <row r="21" spans="2:13" ht="15" customHeight="1" thickBot="1" x14ac:dyDescent="0.2">
      <c r="B21" s="142" t="s">
        <v>107</v>
      </c>
      <c r="C21" s="143">
        <f>IF(Data!D52="No",Data!C73,Data!D73)</f>
        <v>28837.4568</v>
      </c>
      <c r="D21" s="144">
        <f>C21</f>
        <v>28837.4568</v>
      </c>
      <c r="E21" s="145">
        <f>IF(E7="","",IF(F15="",E18*G20,E20*E18))</f>
        <v>20379.489843750016</v>
      </c>
      <c r="F21" s="231"/>
      <c r="G21" s="231"/>
      <c r="H21" s="146"/>
      <c r="I21" s="93"/>
      <c r="M21" s="93"/>
    </row>
    <row r="22" spans="2:13" ht="15.75" customHeight="1" thickTop="1" x14ac:dyDescent="0.15">
      <c r="B22" s="8" t="s">
        <v>207</v>
      </c>
      <c r="C22" s="233"/>
      <c r="D22" s="147">
        <f>IF(D18="","",IF(E7="",D18*(1-D20),D18-D21))</f>
        <v>-29287.150549999977</v>
      </c>
      <c r="E22" s="147">
        <f>IF(E7="","",E18-E21)</f>
        <v>24455.387812500012</v>
      </c>
      <c r="F22" s="147" t="str">
        <f>IF(F15="","",F18*(1-F20))</f>
        <v/>
      </c>
      <c r="G22" s="148">
        <f>G18*(1-G20)</f>
        <v>25311.326385937511</v>
      </c>
      <c r="H22" s="146"/>
      <c r="I22" s="93"/>
      <c r="M22" s="93"/>
    </row>
    <row r="23" spans="2:13" ht="15.75" customHeight="1" x14ac:dyDescent="0.15">
      <c r="B23" s="17" t="s">
        <v>208</v>
      </c>
      <c r="C23" s="215"/>
      <c r="D23" s="213">
        <f>Dashboard!D12</f>
        <v>7.6999999999999999E-2</v>
      </c>
      <c r="E23" s="121">
        <f>IF(E7="","",D23)</f>
        <v>7.6999999999999999E-2</v>
      </c>
      <c r="F23" s="121" t="str">
        <f>IF(F15="","",D23)</f>
        <v/>
      </c>
      <c r="G23" s="18">
        <f>Dashboard!D12</f>
        <v>7.6999999999999999E-2</v>
      </c>
      <c r="H23" s="100"/>
      <c r="I23" s="94"/>
      <c r="J23" s="6"/>
      <c r="M23" s="94"/>
    </row>
    <row r="24" spans="2:13" ht="15.75" customHeight="1" thickBot="1" x14ac:dyDescent="0.2">
      <c r="B24" s="149" t="s">
        <v>209</v>
      </c>
      <c r="C24" s="214"/>
      <c r="D24" s="216">
        <f>IF(D16="","",1+D23)</f>
        <v>1.077</v>
      </c>
      <c r="E24" s="150">
        <f>IF(E7="","",(1+D23)*(1+E23))</f>
        <v>1.159929</v>
      </c>
      <c r="F24" s="150" t="str">
        <f>IF(F15="","",(1+D23)*(1+E23)*(1+F23))</f>
        <v/>
      </c>
      <c r="G24" s="151">
        <f>IF(F15="",IF(E7="",D24,E24),F24)*(1+G23)</f>
        <v>1.249243533</v>
      </c>
      <c r="H24" s="100"/>
      <c r="I24" s="94"/>
      <c r="M24" s="94"/>
    </row>
    <row r="25" spans="2:13" ht="15.75" customHeight="1" thickTop="1" x14ac:dyDescent="0.15">
      <c r="B25" s="8" t="s">
        <v>210</v>
      </c>
      <c r="C25" s="212"/>
      <c r="D25" s="217">
        <f>IF(D16="","",D22/D24)</f>
        <v>-27193.268848653646</v>
      </c>
      <c r="E25" s="232">
        <f>IF(E7="","",E22/E24)</f>
        <v>21083.521329753814</v>
      </c>
      <c r="F25" s="232" t="str">
        <f>IF(F15="","",F22/F24)</f>
        <v/>
      </c>
      <c r="G25" s="218"/>
      <c r="H25" s="140"/>
      <c r="I25" s="93"/>
      <c r="M25" s="93"/>
    </row>
    <row r="26" spans="2:13" ht="15.75" customHeight="1" x14ac:dyDescent="0.15">
      <c r="F26" s="6"/>
      <c r="G26" s="219"/>
    </row>
    <row r="27" spans="2:13" ht="15.75" customHeight="1" x14ac:dyDescent="0.15">
      <c r="B27" s="27" t="s">
        <v>211</v>
      </c>
      <c r="C27" s="123" t="s">
        <v>212</v>
      </c>
      <c r="G27" s="6"/>
    </row>
    <row r="28" spans="2:13" ht="15.75" customHeight="1" x14ac:dyDescent="0.15">
      <c r="B28" s="3" t="s">
        <v>213</v>
      </c>
      <c r="C28" s="152">
        <f>IF(OR(E15="",F15=""),D16,E16)*(1+G15)</f>
        <v>-465.43303124997584</v>
      </c>
      <c r="E28" s="6" t="s">
        <v>214</v>
      </c>
      <c r="F28" s="14">
        <f>G23</f>
        <v>7.6999999999999999E-2</v>
      </c>
      <c r="G28" s="6"/>
    </row>
    <row r="29" spans="2:13" ht="15.75" customHeight="1" thickBot="1" x14ac:dyDescent="0.2">
      <c r="B29" s="3" t="s">
        <v>215</v>
      </c>
      <c r="C29" s="153">
        <f>(C28*(1-G17))/F28</f>
        <v>-4533.4386160711938</v>
      </c>
      <c r="G29" s="6"/>
    </row>
    <row r="30" spans="2:13" ht="15.75" customHeight="1" thickTop="1" x14ac:dyDescent="0.15">
      <c r="B30" s="96" t="s">
        <v>216</v>
      </c>
      <c r="C30" s="152">
        <f>C29/(IF(OR(E15="",F15=""),D24,E24)*(1+G23))</f>
        <v>-3908.3759575553277</v>
      </c>
      <c r="G30" s="6"/>
    </row>
    <row r="31" spans="2:13" ht="15.75" customHeight="1" x14ac:dyDescent="0.15">
      <c r="B31" s="96" t="s">
        <v>217</v>
      </c>
      <c r="C31" s="152">
        <f>IF(OR(E15="",F15=""),D18*0.5/D24,D25+E25)</f>
        <v>-208.77147168058343</v>
      </c>
    </row>
    <row r="32" spans="2:13" ht="15.75" customHeight="1" x14ac:dyDescent="0.15">
      <c r="B32" s="96" t="s">
        <v>218</v>
      </c>
      <c r="C32" s="152">
        <f>'Asset Model'!D51</f>
        <v>228592</v>
      </c>
    </row>
    <row r="33" spans="2:13" ht="15.75" customHeight="1" x14ac:dyDescent="0.15">
      <c r="B33" s="96" t="s">
        <v>219</v>
      </c>
      <c r="C33" s="152">
        <f>Data!C30</f>
        <v>2198451</v>
      </c>
    </row>
    <row r="34" spans="2:13" ht="15.75" customHeight="1" x14ac:dyDescent="0.15">
      <c r="B34" s="69" t="s">
        <v>220</v>
      </c>
      <c r="C34" s="152">
        <f>'Asset Model'!D48</f>
        <v>19676</v>
      </c>
    </row>
    <row r="35" spans="2:13" ht="15.75" customHeight="1" thickBot="1" x14ac:dyDescent="0.2">
      <c r="B35" s="154" t="s">
        <v>221</v>
      </c>
      <c r="C35" s="152">
        <f>'Asset Model'!E43</f>
        <v>1282</v>
      </c>
      <c r="E35" s="3" t="s">
        <v>222</v>
      </c>
      <c r="F35" s="283">
        <f>C32+C33-C34-C35</f>
        <v>2406085</v>
      </c>
    </row>
    <row r="36" spans="2:13" ht="15.75" customHeight="1" thickTop="1" x14ac:dyDescent="0.15">
      <c r="B36" s="5" t="s">
        <v>223</v>
      </c>
      <c r="C36" s="155">
        <f>C30+C31+F35</f>
        <v>2401967.8525707643</v>
      </c>
      <c r="D36" s="156" t="str">
        <f>Dashboard!I11</f>
        <v>CNY</v>
      </c>
      <c r="E36" s="6"/>
    </row>
    <row r="37" spans="2:13" ht="15.75" customHeight="1" x14ac:dyDescent="0.15">
      <c r="B37" s="5" t="s">
        <v>224</v>
      </c>
      <c r="C37" s="157">
        <f>C36*Data!C4/Common_Shares*Exchange_Rate</f>
        <v>2.0453225446630063</v>
      </c>
      <c r="D37" s="65" t="str">
        <f>Dashboard!J4</f>
        <v>HKD</v>
      </c>
      <c r="E37" s="6"/>
    </row>
    <row r="38" spans="2:13" ht="15.75" customHeight="1" x14ac:dyDescent="0.15">
      <c r="C38" s="6"/>
      <c r="D38" s="6"/>
      <c r="G38" s="6"/>
    </row>
    <row r="39" spans="2:13" ht="15.75" customHeight="1" x14ac:dyDescent="0.15">
      <c r="B39" s="27" t="s">
        <v>225</v>
      </c>
      <c r="C39" s="158"/>
      <c r="D39" s="24"/>
      <c r="E39" s="159"/>
      <c r="F39" s="160"/>
    </row>
    <row r="40" spans="2:13" ht="15.75" customHeight="1" x14ac:dyDescent="0.15">
      <c r="B40" s="3" t="s">
        <v>213</v>
      </c>
      <c r="C40" s="152">
        <f>G16</f>
        <v>61872.131165625033</v>
      </c>
      <c r="D40" s="24"/>
      <c r="E40" s="159"/>
      <c r="F40" s="160"/>
    </row>
    <row r="41" spans="2:13" ht="15.75" customHeight="1" thickBot="1" x14ac:dyDescent="0.2">
      <c r="B41" s="69" t="s">
        <v>215</v>
      </c>
      <c r="C41" s="153">
        <f>G22/(G23-G15)</f>
        <v>602650.62823660742</v>
      </c>
      <c r="D41" s="161"/>
      <c r="E41" s="6" t="s">
        <v>214</v>
      </c>
      <c r="F41" s="14">
        <f>G18/C41</f>
        <v>7.6999999999999999E-2</v>
      </c>
      <c r="G41" s="6"/>
      <c r="M41" s="1"/>
    </row>
    <row r="42" spans="2:13" ht="15.75" customHeight="1" thickTop="1" x14ac:dyDescent="0.15">
      <c r="B42" s="96" t="s">
        <v>226</v>
      </c>
      <c r="C42" s="152">
        <f>C41/G24</f>
        <v>482412.44586583535</v>
      </c>
      <c r="D42" s="162"/>
      <c r="F42" s="6"/>
      <c r="G42" s="6"/>
      <c r="I42" s="370"/>
      <c r="J42" s="370"/>
      <c r="K42" s="370"/>
      <c r="L42" s="163"/>
      <c r="M42" s="164"/>
    </row>
    <row r="43" spans="2:13" ht="15.75" customHeight="1" thickBot="1" x14ac:dyDescent="0.2">
      <c r="B43" s="96" t="s">
        <v>227</v>
      </c>
      <c r="C43" s="152">
        <f>SUM(D25:F25)</f>
        <v>-6109.7475188998324</v>
      </c>
      <c r="D43" s="162"/>
      <c r="F43" s="6"/>
      <c r="G43" s="6"/>
      <c r="I43" s="29"/>
      <c r="J43" s="29"/>
      <c r="K43" s="29"/>
      <c r="L43" s="163"/>
      <c r="M43" s="164"/>
    </row>
    <row r="44" spans="2:13" ht="15.75" customHeight="1" thickTop="1" x14ac:dyDescent="0.15">
      <c r="B44" s="5" t="s">
        <v>223</v>
      </c>
      <c r="C44" s="155">
        <f>C43+C42+F35</f>
        <v>2882387.6983469357</v>
      </c>
      <c r="D44" s="156" t="str">
        <f>Dashboard!I11</f>
        <v>CNY</v>
      </c>
      <c r="E44" s="159"/>
      <c r="F44" s="160"/>
      <c r="G44" s="6"/>
      <c r="H44" s="165"/>
      <c r="I44" s="6"/>
    </row>
    <row r="45" spans="2:13" ht="15.75" customHeight="1" x14ac:dyDescent="0.15">
      <c r="B45" s="5" t="s">
        <v>224</v>
      </c>
      <c r="C45" s="157">
        <f>C44*Data!C4/Common_Shares*Exchange_Rate</f>
        <v>2.4544094274944572</v>
      </c>
      <c r="D45" s="65" t="str">
        <f>Dashboard!J4</f>
        <v>HKD</v>
      </c>
      <c r="E45" s="159"/>
      <c r="F45" s="160"/>
      <c r="G45" s="6"/>
    </row>
    <row r="46" spans="2:13" ht="15.75" customHeight="1" x14ac:dyDescent="0.15">
      <c r="C46" s="6"/>
      <c r="D46" s="6"/>
      <c r="F46" s="6"/>
      <c r="I46" s="69"/>
      <c r="J46" s="166"/>
    </row>
    <row r="47" spans="2:13" ht="15.75" customHeight="1" x14ac:dyDescent="0.15">
      <c r="C47" s="167" t="s">
        <v>228</v>
      </c>
      <c r="D47" s="30" t="s">
        <v>229</v>
      </c>
      <c r="E47" s="167" t="s">
        <v>230</v>
      </c>
      <c r="F47" s="168" t="s">
        <v>231</v>
      </c>
      <c r="G47" s="167" t="s">
        <v>232</v>
      </c>
      <c r="I47" s="169" t="s">
        <v>193</v>
      </c>
    </row>
    <row r="48" spans="2:13" ht="15.75" hidden="1" customHeight="1" x14ac:dyDescent="0.15">
      <c r="C48" s="6"/>
      <c r="D48" s="6"/>
      <c r="E48" s="170">
        <f>G18/F41</f>
        <v>602650.62823660742</v>
      </c>
      <c r="F48" s="171"/>
      <c r="I48" s="172"/>
    </row>
    <row r="49" spans="1:12" ht="15.75" customHeight="1" x14ac:dyDescent="0.15">
      <c r="B49" s="3" t="s">
        <v>233</v>
      </c>
      <c r="C49" s="173">
        <f>1/D49</f>
        <v>12.987012987012987</v>
      </c>
      <c r="D49" s="14">
        <f>F41</f>
        <v>7.6999999999999999E-2</v>
      </c>
      <c r="E49" s="174">
        <f t="dataTable" ref="E49:E54" dt2D="0" dtr="0" r1="F41" ca="1"/>
        <v>602650.62823660742</v>
      </c>
      <c r="F49" s="175">
        <f>(E49/G24+C43+(C32+C33-C34-C35))*Data!C$4/Common_Shares*Exchange_Rate</f>
        <v>2.4544094274944572</v>
      </c>
      <c r="G49" s="176">
        <f>IF(Data!F$3&lt;=0,"NNI",F49/((Data!F$3*Exchange_Rate)/(Common_Shares/Data!C$4)))</f>
        <v>31.298662203934455</v>
      </c>
      <c r="I49" s="123" t="s">
        <v>234</v>
      </c>
    </row>
    <row r="50" spans="1:12" ht="15.75" customHeight="1" x14ac:dyDescent="0.15">
      <c r="C50" s="177">
        <f>1/D50</f>
        <v>13.966480446927374</v>
      </c>
      <c r="D50" s="14">
        <f>D49-((D$49-D$54)/5)</f>
        <v>7.1599999999999997E-2</v>
      </c>
      <c r="E50" s="178">
        <v>648101.9326008209</v>
      </c>
      <c r="F50" s="175">
        <f>(E50/G24+C43+(C32+C33-C34-C35))*Data!C$4/Common_Shares*Exchange_Rate</f>
        <v>2.4853903150913914</v>
      </c>
      <c r="G50" s="177">
        <f>IF(Data!F$3&lt;=0,"NNI",F50/((Data!F$3*Exchange_Rate)/(Common_Shares/Data!C$4)))</f>
        <v>31.693730901443644</v>
      </c>
      <c r="I50" s="123"/>
    </row>
    <row r="51" spans="1:12" ht="15.75" customHeight="1" x14ac:dyDescent="0.15">
      <c r="C51" s="177">
        <f>1/D51</f>
        <v>15.105740181268883</v>
      </c>
      <c r="D51" s="14">
        <f>D50-((D$49-D$54)/5)</f>
        <v>6.6199999999999995E-2</v>
      </c>
      <c r="E51" s="178">
        <v>737040.95257653727</v>
      </c>
      <c r="F51" s="175">
        <f>(E51/G24+C43+(C32+C33-C34-C35))*Data!C$4/Common_Shares*Exchange_Rate</f>
        <v>2.5460136529557871</v>
      </c>
      <c r="G51" s="177">
        <f>IF(Data!F$3&lt;=0,"NNI",F51/((Data!F$3*Exchange_Rate)/(Common_Shares/Data!C$4)))</f>
        <v>32.466800525540414</v>
      </c>
      <c r="I51" s="123"/>
    </row>
    <row r="52" spans="1:12" ht="15.75" customHeight="1" x14ac:dyDescent="0.15">
      <c r="C52" s="177">
        <f t="shared" ref="C52:C53" si="2">1/D52</f>
        <v>16.447368421052634</v>
      </c>
      <c r="D52" s="14">
        <f>D51-((D$49-D$54)/5)</f>
        <v>6.0799999999999993E-2</v>
      </c>
      <c r="E52" s="178">
        <v>840897.69451686682</v>
      </c>
      <c r="F52" s="175">
        <f>(E52/G24+C43+(C32+C33-C34-C35))*Data!C$4/Common_Shares*Exchange_Rate</f>
        <v>2.6168053297458274</v>
      </c>
      <c r="G52" s="177">
        <f>IF(Data!F$3&lt;=0,"NNI",F52/((Data!F$3*Exchange_Rate)/(Common_Shares/Data!C$4)))</f>
        <v>33.369536945096712</v>
      </c>
      <c r="I52" s="123" t="s">
        <v>235</v>
      </c>
    </row>
    <row r="53" spans="1:12" ht="15.75" customHeight="1" x14ac:dyDescent="0.15">
      <c r="C53" s="177">
        <f t="shared" si="2"/>
        <v>18.050541516245492</v>
      </c>
      <c r="D53" s="14">
        <f>D52-((D$49-D$54)/5)</f>
        <v>5.5399999999999991E-2</v>
      </c>
      <c r="E53" s="178">
        <v>909228.21129496302</v>
      </c>
      <c r="F53" s="175">
        <f>(E53/G24+C43+(C32+C33-C34-C35))*Data!C$4/Common_Shares*Exchange_Rate</f>
        <v>2.663381332114847</v>
      </c>
      <c r="G53" s="177">
        <f>IF(Data!F$3&lt;=0,"NNI",F53/((Data!F$3*Exchange_Rate)/(Common_Shares/Data!C$4)))</f>
        <v>33.963474757031271</v>
      </c>
      <c r="I53" s="123"/>
    </row>
    <row r="54" spans="1:12" ht="15.75" customHeight="1" x14ac:dyDescent="0.15">
      <c r="B54" s="3" t="s">
        <v>236</v>
      </c>
      <c r="C54" s="179">
        <f>1/D54</f>
        <v>20</v>
      </c>
      <c r="D54" s="137">
        <v>0.05</v>
      </c>
      <c r="E54" s="180">
        <v>928081.96748437546</v>
      </c>
      <c r="F54" s="181">
        <f>(E54/G24+C43+(C32+C33-C34-C35))*Data!C$4/Common_Shares*Exchange_Rate</f>
        <v>2.6762325826885074</v>
      </c>
      <c r="G54" s="179">
        <f>IF(Data!F$3&lt;=0,"NNI",F54/((Data!F$3*Exchange_Rate)/(Common_Shares/Data!C$4)))</f>
        <v>34.127354078100254</v>
      </c>
      <c r="I54" s="123"/>
    </row>
    <row r="55" spans="1:12" ht="15.75" customHeight="1" x14ac:dyDescent="0.15">
      <c r="C55" s="6"/>
      <c r="D55" s="6"/>
      <c r="E55" s="6"/>
      <c r="F55" s="6"/>
      <c r="G55" s="6"/>
    </row>
    <row r="56" spans="1:12" ht="15.75" customHeight="1" x14ac:dyDescent="0.2">
      <c r="A56" s="10"/>
      <c r="B56" s="11" t="s">
        <v>20</v>
      </c>
      <c r="C56" s="30" t="s">
        <v>234</v>
      </c>
      <c r="D56" s="168"/>
      <c r="E56" s="168" t="str">
        <f>IF(D57="&gt;","Hight future interest rate scenario","Optimistic scenario")</f>
        <v>Optimistic scenario</v>
      </c>
      <c r="F56" s="168"/>
      <c r="G56" s="168"/>
      <c r="H56" s="12"/>
      <c r="I56" s="183"/>
      <c r="J56" s="12"/>
      <c r="K56" s="12"/>
      <c r="L56" s="12"/>
    </row>
    <row r="57" spans="1:12" ht="15.75" customHeight="1" x14ac:dyDescent="0.15">
      <c r="A57" s="6"/>
      <c r="B57" s="110" t="s">
        <v>237</v>
      </c>
      <c r="C57" s="184">
        <f>C37</f>
        <v>2.0453225446630063</v>
      </c>
      <c r="D57" s="24" t="str">
        <f>IF(C57&lt;E57,"&lt;",IF(C57=E57,"=","&gt;"))</f>
        <v>&lt;</v>
      </c>
      <c r="E57" s="185">
        <f>F54</f>
        <v>2.6762325826885074</v>
      </c>
      <c r="F57" s="6"/>
      <c r="G57" s="6"/>
      <c r="H57" s="6"/>
      <c r="I57" s="6"/>
      <c r="L57" s="6"/>
    </row>
    <row r="58" spans="1:12" ht="15.75" customHeight="1" x14ac:dyDescent="0.15">
      <c r="B58" s="6"/>
      <c r="C58" s="243"/>
      <c r="D58" s="243"/>
      <c r="E58" s="243"/>
      <c r="F58" s="243"/>
      <c r="G58" s="244"/>
      <c r="H58" s="6"/>
      <c r="I58" s="178"/>
      <c r="J58" s="6"/>
    </row>
    <row r="59" spans="1:12" ht="15.75" customHeight="1" x14ac:dyDescent="0.15">
      <c r="C59" s="311" t="s">
        <v>238</v>
      </c>
      <c r="D59" s="371"/>
      <c r="E59" s="36" t="s">
        <v>22</v>
      </c>
      <c r="F59" s="36" t="s">
        <v>23</v>
      </c>
      <c r="G59" s="36" t="s">
        <v>239</v>
      </c>
      <c r="H59" s="6"/>
    </row>
    <row r="60" spans="1:12" ht="15.75" customHeight="1" x14ac:dyDescent="0.15">
      <c r="B60" s="6" t="s">
        <v>240</v>
      </c>
      <c r="C60" s="186">
        <f>MIN(C57,E57)+(ABS(C57-E57)*'Qualitative Analysis'!E78)</f>
        <v>2.4586240566762254</v>
      </c>
      <c r="D60" s="237" t="str">
        <f>D45</f>
        <v>HKD</v>
      </c>
      <c r="E60" s="238">
        <f>IF(Data!F3&lt;=0,"NNI",C60/((Data!F3*Exchange_Rate)/(Common_Shares/Data!C4)))</f>
        <v>31.352407212243712</v>
      </c>
      <c r="F60" s="238">
        <f>C60/(Data!C28*Exchange_Rate*Data!C4/Common_Shares)</f>
        <v>1.0293801614148956</v>
      </c>
      <c r="G60" s="245">
        <f>IRR(C64:G64)</f>
        <v>0.59704902500337886</v>
      </c>
      <c r="H60" s="6"/>
      <c r="I60" s="123" t="s">
        <v>241</v>
      </c>
    </row>
    <row r="61" spans="1:12" ht="15.75" customHeight="1" x14ac:dyDescent="0.15">
      <c r="D61" s="6"/>
      <c r="E61" s="6"/>
      <c r="F61" s="6"/>
      <c r="G61" s="6"/>
    </row>
    <row r="62" spans="1:12" ht="15.75" customHeight="1" x14ac:dyDescent="0.15">
      <c r="B62" s="22" t="s">
        <v>242</v>
      </c>
      <c r="C62" s="251" t="s">
        <v>243</v>
      </c>
      <c r="D62" s="98" t="s">
        <v>244</v>
      </c>
      <c r="E62" s="167" t="s">
        <v>26</v>
      </c>
    </row>
    <row r="63" spans="1:12" ht="15.75" hidden="1" customHeight="1" x14ac:dyDescent="0.15">
      <c r="B63" s="293" t="s">
        <v>342</v>
      </c>
      <c r="C63" s="36" t="s">
        <v>245</v>
      </c>
      <c r="D63" s="36">
        <v>1</v>
      </c>
      <c r="E63" s="36">
        <v>2</v>
      </c>
      <c r="F63" s="236">
        <v>3</v>
      </c>
      <c r="G63" s="236">
        <v>4</v>
      </c>
      <c r="H63" s="6"/>
      <c r="I63" s="36" t="s">
        <v>246</v>
      </c>
    </row>
    <row r="64" spans="1:12" ht="15.75" hidden="1" customHeight="1" x14ac:dyDescent="0.15">
      <c r="C64" s="175">
        <f>D66</f>
        <v>-0.19543180354396394</v>
      </c>
      <c r="D64" s="175">
        <f>D22/(Dashboard!I5/Data!C4)</f>
        <v>-2.1965417035287559E-2</v>
      </c>
      <c r="E64" s="175">
        <f>IF(E7="",I64,E22)/(Dashboard!I5/Data!C4)</f>
        <v>1.8341586053043046E-2</v>
      </c>
      <c r="F64" s="239">
        <f>IF(E7="","",IF(F15="",I64,F22)/(Dashboard!I5/Data!C4))</f>
        <v>0.82279948963801985</v>
      </c>
      <c r="G64" s="240" t="str">
        <f>IF(AND(E7="",F15=""),"",IF(F15="","",I64/(Dashboard!I5/Data!C4)))</f>
        <v/>
      </c>
      <c r="H64" s="6"/>
      <c r="I64" s="277">
        <f>(C60*Dashboard!I5/Data!C4-F35-C43)*G24</f>
        <v>1097063.2830134365</v>
      </c>
    </row>
    <row r="65" spans="2:5" ht="15.75" hidden="1" customHeight="1" x14ac:dyDescent="0.15">
      <c r="E65" s="249">
        <f>IRR(C64:G64)</f>
        <v>0.59704902500337886</v>
      </c>
    </row>
    <row r="66" spans="2:5" ht="15.75" customHeight="1" x14ac:dyDescent="0.15">
      <c r="B66" s="281">
        <f>Dashboard!B16</f>
        <v>2</v>
      </c>
      <c r="C66" s="372">
        <f>F35/(Dashboard!I5/Data!C4)</f>
        <v>1.8045681964560361</v>
      </c>
      <c r="D66" s="279">
        <f>IF((-B66+C66)&gt;0,0,-B66+C66)</f>
        <v>-0.19543180354396394</v>
      </c>
      <c r="E66" s="256">
        <f t="dataTable" ref="E66:E68" dt2D="0" dtr="0" r1="C64" ca="1"/>
        <v>0.59704902500337886</v>
      </c>
    </row>
    <row r="67" spans="2:5" ht="15.75" customHeight="1" x14ac:dyDescent="0.15">
      <c r="B67" s="253">
        <f>Dashboard!B17</f>
        <v>2.4586240566762254</v>
      </c>
      <c r="C67" s="373"/>
      <c r="D67" s="278">
        <f>IF((-B67+C66)&gt;0,0,-B67+C66)</f>
        <v>-0.65405586022018936</v>
      </c>
      <c r="E67" s="255">
        <v>7.6999999999942226E-2</v>
      </c>
    </row>
    <row r="68" spans="2:5" ht="15.75" customHeight="1" x14ac:dyDescent="0.15">
      <c r="B68" s="282">
        <f>Dashboard!B18</f>
        <v>1.78</v>
      </c>
      <c r="C68" s="374"/>
      <c r="D68" s="280">
        <f>IF((-B68+C66)&gt;0,0,-B68+C66)</f>
        <v>0</v>
      </c>
      <c r="E68" s="258">
        <v>5.5520989824383253</v>
      </c>
    </row>
    <row r="69" spans="2:5" ht="15.75" customHeight="1" x14ac:dyDescent="0.15"/>
    <row r="70" spans="2:5" ht="15.75" customHeight="1" x14ac:dyDescent="0.15"/>
    <row r="71" spans="2:5" ht="15.75" customHeight="1" x14ac:dyDescent="0.15"/>
    <row r="72" spans="2:5" ht="15.75" customHeight="1" x14ac:dyDescent="0.15"/>
    <row r="73" spans="2:5" ht="15.75" customHeight="1" x14ac:dyDescent="0.15"/>
    <row r="74" spans="2:5" ht="15.75" customHeight="1" x14ac:dyDescent="0.15"/>
    <row r="75" spans="2:5" ht="15.75" customHeight="1" x14ac:dyDescent="0.15"/>
    <row r="76" spans="2:5" ht="15.75" customHeight="1" x14ac:dyDescent="0.15"/>
    <row r="77" spans="2:5" ht="15.75" customHeight="1" x14ac:dyDescent="0.15"/>
    <row r="78" spans="2:5" ht="15.75" customHeight="1" x14ac:dyDescent="0.15"/>
    <row r="79" spans="2:5" ht="15.75" customHeight="1" x14ac:dyDescent="0.15"/>
    <row r="80" spans="2:5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</sheetData>
  <mergeCells count="3">
    <mergeCell ref="I42:K42"/>
    <mergeCell ref="C59:D59"/>
    <mergeCell ref="C66:C68"/>
  </mergeCells>
  <conditionalFormatting sqref="C28">
    <cfRule type="containsBlanks" dxfId="5" priority="11">
      <formula>LEN(TRIM(C28))=0</formula>
    </cfRule>
  </conditionalFormatting>
  <conditionalFormatting sqref="C30">
    <cfRule type="containsBlanks" dxfId="4" priority="10">
      <formula>LEN(TRIM(C30))=0</formula>
    </cfRule>
  </conditionalFormatting>
  <conditionalFormatting sqref="C40">
    <cfRule type="containsBlanks" dxfId="3" priority="9">
      <formula>LEN(TRIM(C40))=0</formula>
    </cfRule>
  </conditionalFormatting>
  <conditionalFormatting sqref="E49:F54">
    <cfRule type="cellIs" dxfId="2" priority="24" operator="equal">
      <formula>$E$57</formula>
    </cfRule>
  </conditionalFormatting>
  <conditionalFormatting sqref="E8:E25 F16:F25">
    <cfRule type="containsBlanks" dxfId="1" priority="3">
      <formula>LEN(TRIM(E8))=0</formula>
    </cfRule>
  </conditionalFormatting>
  <conditionalFormatting sqref="D66:D68">
    <cfRule type="cellIs" dxfId="0" priority="1" operator="equal">
      <formula>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H91"/>
  <sheetViews>
    <sheetView showGridLines="0" zoomScale="144" workbookViewId="0">
      <selection activeCell="D4" sqref="D4"/>
    </sheetView>
  </sheetViews>
  <sheetFormatPr baseColWidth="10" defaultColWidth="12.5" defaultRowHeight="15" customHeight="1" x14ac:dyDescent="0.15"/>
  <cols>
    <col min="1" max="1" width="2.5" style="3" customWidth="1"/>
    <col min="2" max="2" width="62.5" style="3" customWidth="1"/>
    <col min="3" max="4" width="22.5" style="3" customWidth="1"/>
    <col min="5" max="5" width="32.6640625" style="3" customWidth="1"/>
    <col min="6" max="16384" width="12.5" style="3"/>
  </cols>
  <sheetData>
    <row r="2" spans="1:5" ht="16" x14ac:dyDescent="0.2">
      <c r="A2" s="4"/>
      <c r="B2" s="11" t="s">
        <v>247</v>
      </c>
      <c r="C2" s="190"/>
      <c r="D2" s="12"/>
      <c r="E2" s="12"/>
    </row>
    <row r="3" spans="1:5" ht="14" x14ac:dyDescent="0.15">
      <c r="B3" s="191" t="s">
        <v>248</v>
      </c>
      <c r="C3" s="192"/>
      <c r="D3" s="6"/>
      <c r="E3" s="6"/>
    </row>
    <row r="4" spans="1:5" ht="14" x14ac:dyDescent="0.15">
      <c r="B4" s="6" t="s">
        <v>249</v>
      </c>
      <c r="C4" s="192"/>
      <c r="D4" s="189">
        <f>IF(E4="Strongly disagree",0,IF(E4="disagree",1,IF(E4="unclear",2,IF(E4="agree",3,4))))</f>
        <v>2</v>
      </c>
      <c r="E4" s="37" t="s">
        <v>264</v>
      </c>
    </row>
    <row r="5" spans="1:5" ht="14" x14ac:dyDescent="0.15">
      <c r="B5" s="6" t="s">
        <v>251</v>
      </c>
      <c r="C5" s="192"/>
      <c r="D5" s="189">
        <f t="shared" ref="D5:D6" si="0">IF(E5="Strongly disagree",0,IF(E5="disagree",1,IF(E5="unclear",2,IF(E5="agree",3,4))))</f>
        <v>3</v>
      </c>
      <c r="E5" s="37" t="s">
        <v>19</v>
      </c>
    </row>
    <row r="6" spans="1:5" ht="14" x14ac:dyDescent="0.15">
      <c r="B6" s="6" t="s">
        <v>252</v>
      </c>
      <c r="C6" s="192"/>
      <c r="D6" s="189">
        <f t="shared" si="0"/>
        <v>3</v>
      </c>
      <c r="E6" s="37" t="s">
        <v>19</v>
      </c>
    </row>
    <row r="7" spans="1:5" ht="14" x14ac:dyDescent="0.15">
      <c r="B7" s="193" t="s">
        <v>253</v>
      </c>
      <c r="C7" s="192"/>
      <c r="D7" s="189">
        <f>AVERAGE(D4:D6)</f>
        <v>2.6666666666666665</v>
      </c>
      <c r="E7" s="194">
        <f>D7/4</f>
        <v>0.66666666666666663</v>
      </c>
    </row>
    <row r="8" spans="1:5" ht="14" x14ac:dyDescent="0.15">
      <c r="B8" s="192"/>
      <c r="C8" s="192"/>
      <c r="E8" s="6"/>
    </row>
    <row r="9" spans="1:5" ht="14" x14ac:dyDescent="0.15">
      <c r="B9" s="195" t="s">
        <v>254</v>
      </c>
      <c r="C9" s="69"/>
      <c r="D9" s="44"/>
      <c r="E9" s="24"/>
    </row>
    <row r="10" spans="1:5" ht="14" x14ac:dyDescent="0.15">
      <c r="B10" s="3" t="s">
        <v>255</v>
      </c>
      <c r="D10" s="196">
        <f>IF(E10="Strongly disagree",0,IF(E10="disagree",1,IF(E10="unclear",2,IF(E10="agree",3,4))))</f>
        <v>3</v>
      </c>
      <c r="E10" s="37" t="s">
        <v>19</v>
      </c>
    </row>
    <row r="11" spans="1:5" ht="14" x14ac:dyDescent="0.15">
      <c r="B11" s="3" t="s">
        <v>256</v>
      </c>
      <c r="D11" s="196">
        <f>IF(E11="Strongly disagree",0,IF(E11="disagree",1,IF(E11="unclear",2,IF(E11="agree",3,4))))</f>
        <v>3</v>
      </c>
      <c r="E11" s="197" t="str">
        <f>IF(D78&gt;=3.5,"Strongly agree",IF(D78&gt;=2.5,"agree",IF(D78&gt;=1.5,"unclear",IF(D78&gt;=0.5,"disagree","Strongly disagree"))))</f>
        <v>agree</v>
      </c>
    </row>
    <row r="12" spans="1:5" ht="14" x14ac:dyDescent="0.15">
      <c r="B12" s="3" t="s">
        <v>257</v>
      </c>
      <c r="C12" s="69"/>
      <c r="D12" s="196">
        <f>IF(E12="Strongly disagree",0,IF(E12="disagree",1,IF(E12="unclear",2,IF(E12="agree",3,4))))</f>
        <v>3</v>
      </c>
      <c r="E12" s="198" t="str">
        <f>E17</f>
        <v>agree</v>
      </c>
    </row>
    <row r="13" spans="1:5" ht="14" x14ac:dyDescent="0.15">
      <c r="B13" s="193" t="s">
        <v>258</v>
      </c>
      <c r="D13" s="196"/>
      <c r="E13" s="194">
        <f>SUM(D10:D12)/12</f>
        <v>0.75</v>
      </c>
    </row>
    <row r="14" spans="1:5" ht="15" customHeight="1" x14ac:dyDescent="0.15">
      <c r="E14" s="6"/>
    </row>
    <row r="15" spans="1:5" ht="15" customHeight="1" x14ac:dyDescent="0.2">
      <c r="A15" s="4"/>
      <c r="B15" s="11" t="s">
        <v>259</v>
      </c>
      <c r="C15" s="21"/>
      <c r="D15" s="21"/>
      <c r="E15" s="12"/>
    </row>
    <row r="16" spans="1:5" ht="15" customHeight="1" x14ac:dyDescent="0.15">
      <c r="B16" s="195" t="s">
        <v>260</v>
      </c>
      <c r="C16" s="188"/>
      <c r="E16" s="6"/>
    </row>
    <row r="17" spans="2:6" ht="15" customHeight="1" x14ac:dyDescent="0.15">
      <c r="B17" s="69" t="s">
        <v>261</v>
      </c>
      <c r="D17" s="196">
        <f>IF(E17="Strongly disagree",0,IF(E17="disagree",1,IF(E17="unclear",2,IF(E17="agree",3,4))))</f>
        <v>3</v>
      </c>
      <c r="E17" s="197" t="str">
        <f>IF(D7&gt;=3.5,"Strongly agree",IF(D7&gt;=2.5,"agree",IF(D7&gt;=1.5,"unclear",IF(D7&gt;=0.5,"disagree","Strongly disagree"))))</f>
        <v>agree</v>
      </c>
      <c r="F17" s="6"/>
    </row>
    <row r="18" spans="2:6" ht="15" customHeight="1" x14ac:dyDescent="0.15">
      <c r="B18" s="69" t="s">
        <v>262</v>
      </c>
      <c r="D18" s="196">
        <f>IF(E18="Strongly disagree",0,IF(E18="disagree",1,IF(E18="unclear",2,IF(E18="agree",3,4))))</f>
        <v>3</v>
      </c>
      <c r="E18" s="37" t="s">
        <v>19</v>
      </c>
      <c r="F18" s="6"/>
    </row>
    <row r="19" spans="2:6" ht="15" customHeight="1" x14ac:dyDescent="0.15">
      <c r="B19" s="69" t="s">
        <v>263</v>
      </c>
      <c r="D19" s="196">
        <f>IF(E19="Strongly disagree",0,IF(E19="disagree",1,IF(E19="unclear",2,IF(E19="agree",3,4))))</f>
        <v>2</v>
      </c>
      <c r="E19" s="37" t="s">
        <v>264</v>
      </c>
      <c r="F19" s="6"/>
    </row>
    <row r="20" spans="2:6" ht="15" customHeight="1" x14ac:dyDescent="0.15">
      <c r="B20" s="69" t="s">
        <v>265</v>
      </c>
      <c r="D20" s="196">
        <f>IF(E20="Strongly disagree",0,IF(E20="disagree",1,IF(E20="unclear",2,IF(E20="agree",3,4))))</f>
        <v>1</v>
      </c>
      <c r="E20" s="37" t="s">
        <v>266</v>
      </c>
      <c r="F20" s="6"/>
    </row>
    <row r="21" spans="2:6" ht="15" customHeight="1" x14ac:dyDescent="0.15">
      <c r="B21" s="69" t="s">
        <v>267</v>
      </c>
      <c r="D21" s="196">
        <f>IF(E21="Strongly disagree",0,IF(E21="disagree",1,IF(E21="unclear",2,IF(E21="agree",3,4))))</f>
        <v>4</v>
      </c>
      <c r="E21" s="37" t="s">
        <v>250</v>
      </c>
      <c r="F21" s="6"/>
    </row>
    <row r="22" spans="2:6" ht="15" customHeight="1" x14ac:dyDescent="0.15">
      <c r="B22" s="195" t="s">
        <v>268</v>
      </c>
      <c r="D22" s="44"/>
      <c r="E22" s="24"/>
    </row>
    <row r="23" spans="2:6" ht="15" customHeight="1" x14ac:dyDescent="0.15">
      <c r="B23" s="69" t="s">
        <v>269</v>
      </c>
      <c r="D23" s="196">
        <f>IF(E23="Strongly disagree",0,IF(E23="disagree",1,IF(E23="unclear",2,IF(E23="agree",3,4))))</f>
        <v>4</v>
      </c>
      <c r="E23" s="64" t="str">
        <f>IF(OR('Asset Model'!H19&lt;1,'Asset Model'!H37&lt;1),"Strongly disagree",
IF(OR('Asset Model'!H19&lt;2,'Asset Model'!H37&lt;2),"unclear", IF(OR('Asset Model'!H19&lt;5,'Asset Model'!H37&lt;5),"agree","Strongly agree"))
)</f>
        <v>Strongly agree</v>
      </c>
      <c r="F23" s="6"/>
    </row>
    <row r="24" spans="2:6" ht="15" customHeight="1" x14ac:dyDescent="0.15">
      <c r="B24" s="69" t="s">
        <v>270</v>
      </c>
      <c r="D24" s="196">
        <f t="shared" ref="D24:D27" si="1">IF(E24="Strongly disagree",0,IF(E24="disagree",1,IF(E24="unclear",2,IF(E24="agree",3,4))))</f>
        <v>3</v>
      </c>
      <c r="E24" s="37" t="s">
        <v>19</v>
      </c>
      <c r="F24" s="6"/>
    </row>
    <row r="25" spans="2:6" ht="15" customHeight="1" x14ac:dyDescent="0.15">
      <c r="B25" s="69" t="s">
        <v>271</v>
      </c>
      <c r="D25" s="196">
        <f t="shared" si="1"/>
        <v>1</v>
      </c>
      <c r="E25" s="37" t="s">
        <v>266</v>
      </c>
      <c r="F25" s="6"/>
    </row>
    <row r="26" spans="2:6" ht="15" customHeight="1" x14ac:dyDescent="0.15">
      <c r="B26" s="69" t="s">
        <v>272</v>
      </c>
      <c r="D26" s="196">
        <f t="shared" si="1"/>
        <v>3</v>
      </c>
      <c r="E26" s="37" t="s">
        <v>19</v>
      </c>
      <c r="F26" s="6"/>
    </row>
    <row r="27" spans="2:6" ht="15" customHeight="1" x14ac:dyDescent="0.15">
      <c r="B27" s="69" t="s">
        <v>273</v>
      </c>
      <c r="D27" s="196">
        <f t="shared" si="1"/>
        <v>3</v>
      </c>
      <c r="E27" s="37" t="s">
        <v>19</v>
      </c>
      <c r="F27" s="6"/>
    </row>
    <row r="28" spans="2:6" ht="15" customHeight="1" x14ac:dyDescent="0.15">
      <c r="B28" s="195" t="s">
        <v>274</v>
      </c>
      <c r="D28" s="44"/>
      <c r="E28" s="24"/>
    </row>
    <row r="29" spans="2:6" ht="15" customHeight="1" x14ac:dyDescent="0.15">
      <c r="B29" s="69" t="s">
        <v>275</v>
      </c>
      <c r="D29" s="196">
        <f t="shared" ref="D29:D33" si="2">IF(E29="Strongly disagree",0,IF(E29="disagree",1,IF(E29="unclear",2,IF(E29="agree",3,4))))</f>
        <v>4</v>
      </c>
      <c r="E29" s="37" t="s">
        <v>250</v>
      </c>
      <c r="F29" s="6"/>
    </row>
    <row r="30" spans="2:6" ht="15" customHeight="1" x14ac:dyDescent="0.15">
      <c r="B30" s="69" t="s">
        <v>276</v>
      </c>
      <c r="D30" s="196">
        <f t="shared" si="2"/>
        <v>3</v>
      </c>
      <c r="E30" s="37" t="s">
        <v>19</v>
      </c>
      <c r="F30" s="6"/>
    </row>
    <row r="31" spans="2:6" ht="15" customHeight="1" x14ac:dyDescent="0.15">
      <c r="B31" s="69" t="s">
        <v>277</v>
      </c>
      <c r="D31" s="196">
        <f t="shared" si="2"/>
        <v>4</v>
      </c>
      <c r="E31" s="37" t="s">
        <v>250</v>
      </c>
      <c r="F31" s="6"/>
    </row>
    <row r="32" spans="2:6" ht="15" customHeight="1" x14ac:dyDescent="0.15">
      <c r="B32" s="69" t="s">
        <v>278</v>
      </c>
      <c r="D32" s="196">
        <f t="shared" si="2"/>
        <v>2</v>
      </c>
      <c r="E32" s="37" t="s">
        <v>264</v>
      </c>
      <c r="F32" s="6"/>
    </row>
    <row r="33" spans="2:6" ht="15" customHeight="1" x14ac:dyDescent="0.15">
      <c r="B33" s="69" t="s">
        <v>279</v>
      </c>
      <c r="D33" s="196">
        <f t="shared" si="2"/>
        <v>3</v>
      </c>
      <c r="E33" s="37" t="s">
        <v>19</v>
      </c>
      <c r="F33" s="6"/>
    </row>
    <row r="34" spans="2:6" ht="15" customHeight="1" x14ac:dyDescent="0.15">
      <c r="B34" s="195" t="s">
        <v>280</v>
      </c>
      <c r="D34" s="44"/>
      <c r="E34" s="24"/>
    </row>
    <row r="35" spans="2:6" ht="15" customHeight="1" x14ac:dyDescent="0.15">
      <c r="B35" s="1" t="s">
        <v>281</v>
      </c>
      <c r="D35" s="199">
        <f>SUM(D36:D43)/(8*4)</f>
        <v>0.40625</v>
      </c>
      <c r="E35" s="64" t="str">
        <f>IF(D35&gt;80%,"Very High",IF(D35&lt;=20%,"Very Low",IF(D35&lt;=40%,"Low",IF(D35&lt;=60%,"Medium","High"))))</f>
        <v>Medium</v>
      </c>
      <c r="F35" s="6"/>
    </row>
    <row r="36" spans="2:6" ht="15" customHeight="1" x14ac:dyDescent="0.15">
      <c r="B36" s="69" t="s">
        <v>282</v>
      </c>
      <c r="D36" s="196">
        <f t="shared" ref="D36:D43" si="3">IF(E36="Strongly disagree",0,IF(E36="disagree",1,IF(E36="unclear",2,IF(E36="agree",3,4))))</f>
        <v>0</v>
      </c>
      <c r="E36" s="37" t="s">
        <v>283</v>
      </c>
      <c r="F36" s="6"/>
    </row>
    <row r="37" spans="2:6" ht="15" customHeight="1" x14ac:dyDescent="0.15">
      <c r="B37" s="69" t="s">
        <v>284</v>
      </c>
      <c r="D37" s="196">
        <f t="shared" si="3"/>
        <v>3</v>
      </c>
      <c r="E37" s="37" t="s">
        <v>19</v>
      </c>
      <c r="F37" s="6"/>
    </row>
    <row r="38" spans="2:6" ht="15" customHeight="1" x14ac:dyDescent="0.15">
      <c r="B38" s="69" t="s">
        <v>285</v>
      </c>
      <c r="D38" s="196">
        <f t="shared" si="3"/>
        <v>4</v>
      </c>
      <c r="E38" s="37" t="s">
        <v>250</v>
      </c>
      <c r="F38" s="6"/>
    </row>
    <row r="39" spans="2:6" ht="15" customHeight="1" x14ac:dyDescent="0.15">
      <c r="B39" s="69" t="s">
        <v>286</v>
      </c>
      <c r="D39" s="196">
        <f t="shared" si="3"/>
        <v>0</v>
      </c>
      <c r="E39" s="37" t="s">
        <v>283</v>
      </c>
      <c r="F39" s="6"/>
    </row>
    <row r="40" spans="2:6" ht="15" customHeight="1" x14ac:dyDescent="0.15">
      <c r="B40" s="69" t="s">
        <v>287</v>
      </c>
      <c r="D40" s="196">
        <f t="shared" si="3"/>
        <v>0</v>
      </c>
      <c r="E40" s="37" t="s">
        <v>283</v>
      </c>
      <c r="F40" s="6"/>
    </row>
    <row r="41" spans="2:6" ht="15" customHeight="1" x14ac:dyDescent="0.15">
      <c r="B41" s="69" t="s">
        <v>288</v>
      </c>
      <c r="D41" s="196">
        <f t="shared" si="3"/>
        <v>2</v>
      </c>
      <c r="E41" s="37" t="s">
        <v>264</v>
      </c>
      <c r="F41" s="6"/>
    </row>
    <row r="42" spans="2:6" ht="15" customHeight="1" x14ac:dyDescent="0.15">
      <c r="B42" s="69" t="s">
        <v>289</v>
      </c>
      <c r="D42" s="196">
        <f t="shared" si="3"/>
        <v>4</v>
      </c>
      <c r="E42" s="37" t="s">
        <v>250</v>
      </c>
      <c r="F42" s="6"/>
    </row>
    <row r="43" spans="2:6" ht="15" customHeight="1" x14ac:dyDescent="0.15">
      <c r="B43" s="69" t="s">
        <v>290</v>
      </c>
      <c r="D43" s="196">
        <f t="shared" si="3"/>
        <v>0</v>
      </c>
      <c r="E43" s="37" t="s">
        <v>283</v>
      </c>
    </row>
    <row r="44" spans="2:6" ht="15" customHeight="1" x14ac:dyDescent="0.15">
      <c r="B44" s="1" t="s">
        <v>291</v>
      </c>
      <c r="D44" s="199">
        <f>SUM(D45:D50)/(6*4)</f>
        <v>0</v>
      </c>
      <c r="E44" s="64" t="str">
        <f>IF(D44&gt;80%,"Very High",IF(D44&lt;=20%,"Very Low",IF(D44&lt;=40%,"Low",IF(D44&lt;=60%,"Medium","High"))))</f>
        <v>Very Low</v>
      </c>
      <c r="F44" s="6"/>
    </row>
    <row r="45" spans="2:6" ht="15" customHeight="1" x14ac:dyDescent="0.15">
      <c r="B45" s="69" t="s">
        <v>292</v>
      </c>
      <c r="D45" s="196">
        <f t="shared" ref="D45:D50" si="4">IF(E45="Strongly disagree",0,IF(E45="disagree",1,IF(E45="unclear",2,IF(E45="agree",3,4))))</f>
        <v>0</v>
      </c>
      <c r="E45" s="37" t="s">
        <v>283</v>
      </c>
      <c r="F45" s="6"/>
    </row>
    <row r="46" spans="2:6" ht="15" customHeight="1" x14ac:dyDescent="0.15">
      <c r="B46" s="69" t="s">
        <v>293</v>
      </c>
      <c r="D46" s="196">
        <f t="shared" si="4"/>
        <v>0</v>
      </c>
      <c r="E46" s="37" t="s">
        <v>283</v>
      </c>
      <c r="F46" s="6"/>
    </row>
    <row r="47" spans="2:6" ht="15" customHeight="1" x14ac:dyDescent="0.15">
      <c r="B47" s="69" t="s">
        <v>294</v>
      </c>
      <c r="D47" s="196">
        <f t="shared" si="4"/>
        <v>0</v>
      </c>
      <c r="E47" s="37" t="s">
        <v>283</v>
      </c>
      <c r="F47" s="6"/>
    </row>
    <row r="48" spans="2:6" ht="15" customHeight="1" x14ac:dyDescent="0.15">
      <c r="B48" s="69" t="s">
        <v>295</v>
      </c>
      <c r="D48" s="196">
        <f t="shared" si="4"/>
        <v>0</v>
      </c>
      <c r="E48" s="37" t="s">
        <v>283</v>
      </c>
      <c r="F48" s="6"/>
    </row>
    <row r="49" spans="2:6" ht="15" customHeight="1" x14ac:dyDescent="0.15">
      <c r="B49" s="69" t="s">
        <v>296</v>
      </c>
      <c r="D49" s="196">
        <f t="shared" si="4"/>
        <v>0</v>
      </c>
      <c r="E49" s="37" t="s">
        <v>283</v>
      </c>
      <c r="F49" s="6"/>
    </row>
    <row r="50" spans="2:6" ht="15" customHeight="1" x14ac:dyDescent="0.15">
      <c r="B50" s="69" t="s">
        <v>297</v>
      </c>
      <c r="D50" s="196">
        <f t="shared" si="4"/>
        <v>0</v>
      </c>
      <c r="E50" s="37" t="s">
        <v>283</v>
      </c>
    </row>
    <row r="51" spans="2:6" ht="15" customHeight="1" x14ac:dyDescent="0.15">
      <c r="B51" s="1" t="s">
        <v>298</v>
      </c>
      <c r="D51" s="199">
        <f>SUM(D52:D59)/(8*4)</f>
        <v>0.46875</v>
      </c>
      <c r="E51" s="64" t="str">
        <f>IF(D51&gt;80%,"Very High",IF(D51&lt;=20%,"Very Low",IF(D51&lt;=40%,"Low",IF(D51&lt;=60%,"Medium","High"))))</f>
        <v>Medium</v>
      </c>
      <c r="F51" s="6"/>
    </row>
    <row r="52" spans="2:6" ht="15" customHeight="1" x14ac:dyDescent="0.15">
      <c r="B52" s="69" t="s">
        <v>299</v>
      </c>
      <c r="D52" s="196">
        <f t="shared" ref="D52:D59" si="5">IF(E52="Strongly disagree",0,IF(E52="disagree",1,IF(E52="unclear",2,IF(E52="agree",3,4))))</f>
        <v>0</v>
      </c>
      <c r="E52" s="37" t="s">
        <v>283</v>
      </c>
      <c r="F52" s="6"/>
    </row>
    <row r="53" spans="2:6" ht="15" customHeight="1" x14ac:dyDescent="0.15">
      <c r="B53" s="69" t="s">
        <v>300</v>
      </c>
      <c r="D53" s="196">
        <f t="shared" si="5"/>
        <v>1</v>
      </c>
      <c r="E53" s="37" t="s">
        <v>266</v>
      </c>
      <c r="F53" s="6"/>
    </row>
    <row r="54" spans="2:6" ht="15" customHeight="1" x14ac:dyDescent="0.15">
      <c r="B54" s="69" t="s">
        <v>301</v>
      </c>
      <c r="D54" s="196">
        <f t="shared" si="5"/>
        <v>4</v>
      </c>
      <c r="E54" s="37" t="s">
        <v>250</v>
      </c>
      <c r="F54" s="6"/>
    </row>
    <row r="55" spans="2:6" ht="15" customHeight="1" x14ac:dyDescent="0.15">
      <c r="B55" s="69" t="s">
        <v>302</v>
      </c>
      <c r="D55" s="196">
        <f t="shared" si="5"/>
        <v>0</v>
      </c>
      <c r="E55" s="37" t="s">
        <v>283</v>
      </c>
      <c r="F55" s="6"/>
    </row>
    <row r="56" spans="2:6" ht="15" customHeight="1" x14ac:dyDescent="0.15">
      <c r="B56" s="69" t="s">
        <v>303</v>
      </c>
      <c r="D56" s="196">
        <f t="shared" si="5"/>
        <v>0</v>
      </c>
      <c r="E56" s="37" t="s">
        <v>283</v>
      </c>
      <c r="F56" s="6"/>
    </row>
    <row r="57" spans="2:6" ht="15" customHeight="1" x14ac:dyDescent="0.15">
      <c r="B57" s="69" t="s">
        <v>304</v>
      </c>
      <c r="D57" s="196">
        <f t="shared" si="5"/>
        <v>2</v>
      </c>
      <c r="E57" s="37" t="s">
        <v>264</v>
      </c>
      <c r="F57" s="6"/>
    </row>
    <row r="58" spans="2:6" ht="15" customHeight="1" x14ac:dyDescent="0.15">
      <c r="B58" s="69" t="s">
        <v>305</v>
      </c>
      <c r="D58" s="196">
        <f t="shared" si="5"/>
        <v>4</v>
      </c>
      <c r="E58" s="37" t="s">
        <v>250</v>
      </c>
      <c r="F58" s="6"/>
    </row>
    <row r="59" spans="2:6" ht="15" customHeight="1" x14ac:dyDescent="0.15">
      <c r="B59" s="69" t="s">
        <v>306</v>
      </c>
      <c r="D59" s="196">
        <f t="shared" si="5"/>
        <v>4</v>
      </c>
      <c r="E59" s="37" t="s">
        <v>250</v>
      </c>
      <c r="F59" s="6"/>
    </row>
    <row r="60" spans="2:6" ht="15" customHeight="1" x14ac:dyDescent="0.15">
      <c r="B60" s="1" t="s">
        <v>307</v>
      </c>
      <c r="D60" s="199">
        <f>SUM(D61:D65)/(3*4)</f>
        <v>0.82879818594104304</v>
      </c>
      <c r="E60" s="64" t="str">
        <f>IF(D60&gt;80%,"Very High",IF(D60&lt;=20%,"Very Low",IF(D60&lt;=40%,"Low",IF(D60&lt;=60%,"Medium","High"))))</f>
        <v>Very High</v>
      </c>
      <c r="F60" s="6"/>
    </row>
    <row r="61" spans="2:6" ht="15" customHeight="1" x14ac:dyDescent="0.15">
      <c r="B61" s="69" t="s">
        <v>308</v>
      </c>
      <c r="D61" s="196">
        <f t="shared" ref="D61:D64" si="6">IF(E61="Strongly disagree",0,IF(E61="disagree",1,IF(E61="unclear",2,IF(E61="agree",3,4))))</f>
        <v>0</v>
      </c>
      <c r="E61" s="37" t="s">
        <v>283</v>
      </c>
    </row>
    <row r="62" spans="2:6" ht="15" customHeight="1" x14ac:dyDescent="0.15">
      <c r="B62" s="69" t="s">
        <v>309</v>
      </c>
      <c r="D62" s="196">
        <f t="shared" si="6"/>
        <v>4</v>
      </c>
      <c r="E62" s="37" t="s">
        <v>250</v>
      </c>
      <c r="F62" s="6"/>
    </row>
    <row r="63" spans="2:6" ht="15" customHeight="1" x14ac:dyDescent="0.15">
      <c r="B63" s="69" t="s">
        <v>310</v>
      </c>
      <c r="D63" s="196">
        <f t="shared" si="6"/>
        <v>3</v>
      </c>
      <c r="E63" s="37" t="s">
        <v>19</v>
      </c>
      <c r="F63" s="5"/>
    </row>
    <row r="64" spans="2:6" ht="15" customHeight="1" x14ac:dyDescent="0.15">
      <c r="B64" s="69" t="s">
        <v>311</v>
      </c>
      <c r="D64" s="196">
        <f t="shared" si="6"/>
        <v>1</v>
      </c>
      <c r="E64" s="37" t="s">
        <v>266</v>
      </c>
    </row>
    <row r="65" spans="2:8" ht="15" customHeight="1" x14ac:dyDescent="0.15">
      <c r="B65" s="69" t="s">
        <v>312</v>
      </c>
      <c r="D65" s="200">
        <f t="array" ref="D65">(1-INDEX(B82:E91,MATCH(E65,B82:B91,0),4))*4</f>
        <v>1.9455782312925169</v>
      </c>
      <c r="E65" s="37" t="s">
        <v>313</v>
      </c>
      <c r="F65" s="69"/>
      <c r="G65" s="69"/>
      <c r="H65" s="69"/>
    </row>
    <row r="66" spans="2:8" ht="15" customHeight="1" x14ac:dyDescent="0.15">
      <c r="B66" s="1" t="s">
        <v>314</v>
      </c>
      <c r="D66" s="201">
        <f>SUM(D67:D75)/(9*4)</f>
        <v>0.94444444444444442</v>
      </c>
      <c r="E66" s="64" t="str">
        <f>IF(D66&gt;80%,"Very High",IF(D66&lt;=20%,"Very Low",IF(D66&lt;=40%,"Low",IF(D66&lt;=60%,"Medium","High"))))</f>
        <v>Very High</v>
      </c>
      <c r="F66" s="69"/>
      <c r="G66" s="69"/>
      <c r="H66" s="69"/>
    </row>
    <row r="67" spans="2:8" ht="15" customHeight="1" x14ac:dyDescent="0.15">
      <c r="B67" s="69" t="s">
        <v>315</v>
      </c>
      <c r="D67" s="196">
        <f t="shared" ref="D67:D74" si="7">IF(E67="Strongly disagree",0,IF(E67="disagree",1,IF(E67="unclear",2,IF(E67="agree",3,4))))</f>
        <v>4</v>
      </c>
      <c r="E67" s="37" t="s">
        <v>250</v>
      </c>
      <c r="F67" s="69"/>
      <c r="G67" s="69"/>
      <c r="H67" s="69"/>
    </row>
    <row r="68" spans="2:8" ht="15" customHeight="1" x14ac:dyDescent="0.15">
      <c r="B68" s="69" t="s">
        <v>316</v>
      </c>
      <c r="D68" s="196">
        <f t="shared" si="7"/>
        <v>4</v>
      </c>
      <c r="E68" s="37" t="s">
        <v>250</v>
      </c>
      <c r="F68" s="69"/>
      <c r="G68" s="69"/>
      <c r="H68" s="69"/>
    </row>
    <row r="69" spans="2:8" ht="15" customHeight="1" x14ac:dyDescent="0.15">
      <c r="B69" s="69" t="s">
        <v>317</v>
      </c>
      <c r="D69" s="196">
        <f t="shared" si="7"/>
        <v>4</v>
      </c>
      <c r="E69" s="37" t="s">
        <v>250</v>
      </c>
      <c r="F69" s="69"/>
      <c r="G69" s="69"/>
      <c r="H69" s="69"/>
    </row>
    <row r="70" spans="2:8" ht="15" customHeight="1" x14ac:dyDescent="0.15">
      <c r="B70" s="69" t="s">
        <v>318</v>
      </c>
      <c r="D70" s="196">
        <f t="shared" si="7"/>
        <v>4</v>
      </c>
      <c r="E70" s="37" t="s">
        <v>250</v>
      </c>
      <c r="F70" s="69"/>
      <c r="G70" s="69"/>
      <c r="H70" s="69"/>
    </row>
    <row r="71" spans="2:8" ht="15" customHeight="1" x14ac:dyDescent="0.15">
      <c r="B71" s="69" t="s">
        <v>319</v>
      </c>
      <c r="D71" s="196">
        <f t="shared" si="7"/>
        <v>4</v>
      </c>
      <c r="E71" s="37" t="s">
        <v>250</v>
      </c>
      <c r="F71" s="69"/>
      <c r="G71" s="69"/>
      <c r="H71" s="69"/>
    </row>
    <row r="72" spans="2:8" ht="15" customHeight="1" x14ac:dyDescent="0.15">
      <c r="B72" s="69" t="s">
        <v>320</v>
      </c>
      <c r="D72" s="196">
        <f t="shared" si="7"/>
        <v>3</v>
      </c>
      <c r="E72" s="37" t="s">
        <v>19</v>
      </c>
      <c r="F72" s="69"/>
      <c r="G72" s="69"/>
      <c r="H72" s="69"/>
    </row>
    <row r="73" spans="2:8" ht="15" customHeight="1" x14ac:dyDescent="0.15">
      <c r="B73" s="69" t="s">
        <v>321</v>
      </c>
      <c r="D73" s="196">
        <f t="shared" si="7"/>
        <v>4</v>
      </c>
      <c r="E73" s="37" t="s">
        <v>250</v>
      </c>
      <c r="F73" s="69"/>
      <c r="G73" s="69"/>
      <c r="H73" s="69"/>
    </row>
    <row r="74" spans="2:8" ht="15" customHeight="1" x14ac:dyDescent="0.15">
      <c r="B74" s="69" t="s">
        <v>322</v>
      </c>
      <c r="D74" s="196">
        <f t="shared" si="7"/>
        <v>4</v>
      </c>
      <c r="E74" s="37" t="s">
        <v>250</v>
      </c>
      <c r="F74" s="69"/>
      <c r="G74" s="69"/>
      <c r="H74" s="69"/>
    </row>
    <row r="75" spans="2:8" ht="15" customHeight="1" x14ac:dyDescent="0.15">
      <c r="B75" s="69" t="s">
        <v>323</v>
      </c>
      <c r="D75" s="196">
        <f>IF(E75="Strongly disagree",0,IF(E75="disagree",1,IF(E75="non-perishable",2,IF(E75="agree",3,4))))</f>
        <v>3</v>
      </c>
      <c r="E75" s="37" t="s">
        <v>19</v>
      </c>
      <c r="F75" s="69"/>
      <c r="G75" s="69"/>
      <c r="H75" s="69"/>
    </row>
    <row r="76" spans="2:8" ht="15" customHeight="1" x14ac:dyDescent="0.15">
      <c r="B76" s="250" t="s">
        <v>324</v>
      </c>
      <c r="D76" s="249">
        <f>1-AVERAGE(D35,D44,D51,D60,D66)</f>
        <v>0.47035147392290244</v>
      </c>
      <c r="E76" s="64" t="str">
        <f>IF(D76&gt;80%,"Very Low",IF(D76&lt;=20%,"Very High",IF(D76&lt;=40%,"High",IF(D76&lt;=60%,"Medium","Low"))))</f>
        <v>Medium</v>
      </c>
      <c r="F76" s="69"/>
      <c r="G76" s="69"/>
      <c r="H76" s="69"/>
    </row>
    <row r="77" spans="2:8" ht="15" customHeight="1" x14ac:dyDescent="0.15">
      <c r="D77" s="6"/>
    </row>
    <row r="78" spans="2:8" ht="15" customHeight="1" x14ac:dyDescent="0.15">
      <c r="B78" s="193" t="s">
        <v>325</v>
      </c>
      <c r="D78" s="189">
        <f>E78*4</f>
        <v>2.620351473922903</v>
      </c>
      <c r="E78" s="248">
        <f>AVERAGE(AVERAGE(D17:D21)/4,AVERAGE(D23:D27)/4,AVERAGE(D29:D33)/4,D76)</f>
        <v>0.65508786848072575</v>
      </c>
    </row>
    <row r="80" spans="2:8" ht="15" customHeight="1" x14ac:dyDescent="0.15">
      <c r="B80" s="70" t="s">
        <v>326</v>
      </c>
      <c r="C80" s="7"/>
      <c r="D80" s="7"/>
      <c r="E80" s="72"/>
    </row>
    <row r="81" spans="2:5" ht="15" customHeight="1" x14ac:dyDescent="0.15">
      <c r="B81" s="202" t="s">
        <v>327</v>
      </c>
      <c r="C81" s="203"/>
      <c r="D81" s="203"/>
      <c r="E81" s="204"/>
    </row>
    <row r="82" spans="2:5" ht="15" customHeight="1" x14ac:dyDescent="0.15">
      <c r="B82" s="205" t="s">
        <v>328</v>
      </c>
      <c r="C82" s="203"/>
      <c r="D82" s="203">
        <v>1</v>
      </c>
      <c r="E82" s="206">
        <f t="shared" ref="E82:E90" si="8">D82/MAX($D$82:$D$91)</f>
        <v>3.4013605442176874E-2</v>
      </c>
    </row>
    <row r="83" spans="2:5" ht="15" customHeight="1" x14ac:dyDescent="0.15">
      <c r="B83" s="205" t="str">
        <f t="shared" ref="B83:B91" si="9">C83&amp;", "&amp;D83&amp;"y"</f>
        <v>Information Technology Like, 6.6y</v>
      </c>
      <c r="C83" s="203" t="s">
        <v>329</v>
      </c>
      <c r="D83" s="203">
        <v>6.6</v>
      </c>
      <c r="E83" s="206">
        <f t="shared" si="8"/>
        <v>0.22448979591836735</v>
      </c>
    </row>
    <row r="84" spans="2:5" ht="15" customHeight="1" x14ac:dyDescent="0.15">
      <c r="B84" s="205" t="str">
        <f t="shared" si="9"/>
        <v>Healthcare, 11.4y</v>
      </c>
      <c r="C84" s="203" t="s">
        <v>330</v>
      </c>
      <c r="D84" s="203">
        <v>11.4</v>
      </c>
      <c r="E84" s="206">
        <f t="shared" si="8"/>
        <v>0.38775510204081637</v>
      </c>
    </row>
    <row r="85" spans="2:5" ht="15" customHeight="1" x14ac:dyDescent="0.15">
      <c r="B85" s="205" t="str">
        <f t="shared" si="9"/>
        <v>Consumer Discretionary, 12.4y</v>
      </c>
      <c r="C85" s="203" t="s">
        <v>331</v>
      </c>
      <c r="D85" s="203">
        <v>12.4</v>
      </c>
      <c r="E85" s="206">
        <f t="shared" si="8"/>
        <v>0.42176870748299322</v>
      </c>
    </row>
    <row r="86" spans="2:5" ht="15" customHeight="1" x14ac:dyDescent="0.15">
      <c r="B86" s="205" t="str">
        <f t="shared" si="9"/>
        <v>Consumer Staples, 15.1y</v>
      </c>
      <c r="C86" s="203" t="s">
        <v>332</v>
      </c>
      <c r="D86" s="203">
        <v>15.1</v>
      </c>
      <c r="E86" s="206">
        <f t="shared" si="8"/>
        <v>0.51360544217687076</v>
      </c>
    </row>
    <row r="87" spans="2:5" ht="15" customHeight="1" x14ac:dyDescent="0.15">
      <c r="B87" s="205" t="str">
        <f t="shared" si="9"/>
        <v>Industrials, 15.4y</v>
      </c>
      <c r="C87" s="203" t="s">
        <v>333</v>
      </c>
      <c r="D87" s="203">
        <v>15.4</v>
      </c>
      <c r="E87" s="206">
        <f t="shared" si="8"/>
        <v>0.52380952380952384</v>
      </c>
    </row>
    <row r="88" spans="2:5" ht="15" customHeight="1" x14ac:dyDescent="0.15">
      <c r="B88" s="205" t="str">
        <f t="shared" si="9"/>
        <v>Telecommunication Services, 16.1y</v>
      </c>
      <c r="C88" s="203" t="s">
        <v>334</v>
      </c>
      <c r="D88" s="203">
        <v>16.100000000000001</v>
      </c>
      <c r="E88" s="206">
        <f t="shared" si="8"/>
        <v>0.54761904761904767</v>
      </c>
    </row>
    <row r="89" spans="2:5" ht="15" customHeight="1" x14ac:dyDescent="0.15">
      <c r="B89" s="205" t="str">
        <f t="shared" si="9"/>
        <v>Energy, 17.6y</v>
      </c>
      <c r="C89" s="203" t="s">
        <v>335</v>
      </c>
      <c r="D89" s="203">
        <v>17.600000000000001</v>
      </c>
      <c r="E89" s="206">
        <f t="shared" si="8"/>
        <v>0.59863945578231303</v>
      </c>
    </row>
    <row r="90" spans="2:5" ht="15" customHeight="1" x14ac:dyDescent="0.15">
      <c r="B90" s="205" t="str">
        <f t="shared" si="9"/>
        <v>Materials, 18.6y</v>
      </c>
      <c r="C90" s="203" t="s">
        <v>336</v>
      </c>
      <c r="D90" s="203">
        <v>18.600000000000001</v>
      </c>
      <c r="E90" s="206">
        <f t="shared" si="8"/>
        <v>0.63265306122448983</v>
      </c>
    </row>
    <row r="91" spans="2:5" ht="15" customHeight="1" x14ac:dyDescent="0.15">
      <c r="B91" s="207" t="str">
        <f t="shared" si="9"/>
        <v>Utilities, 29.4y</v>
      </c>
      <c r="C91" s="208" t="s">
        <v>337</v>
      </c>
      <c r="D91" s="208">
        <v>29.4</v>
      </c>
      <c r="E91" s="209">
        <f>D91/MAX($D$83:$D$91)</f>
        <v>1</v>
      </c>
    </row>
  </sheetData>
  <dataValidations count="5">
    <dataValidation type="list" allowBlank="1" sqref="E35 E44 E51 E60 E66" xr:uid="{00000000-0002-0000-0400-000003000000}">
      <formula1>"Very High,High,Medium,Low,Very Low"</formula1>
    </dataValidation>
    <dataValidation type="list" allowBlank="1" sqref="E4:E7 E24:E27 E29:E33 E67:E74 E36:E43 E45:E50 E52:E59 E61:E64 E18:E21 E10" xr:uid="{00000000-0002-0000-0400-000005000000}">
      <formula1>"Strongly agree,agree,unclear,disagree,Strongly disagree"</formula1>
    </dataValidation>
    <dataValidation type="list" allowBlank="1" sqref="E75" xr:uid="{00000000-0002-0000-0400-000009000000}">
      <formula1>"Strongly agree,agree,non-perishable,disagree,Strongly disagree"</formula1>
    </dataValidation>
    <dataValidation allowBlank="1" sqref="E17 E11:E12" xr:uid="{FBCCA791-86B6-4660-95B3-845402529B68}"/>
    <dataValidation type="list" allowBlank="1" showInputMessage="1" showErrorMessage="1" sqref="E65" xr:uid="{B3C242EB-7F6A-4B7F-83D0-5CE118336997}">
      <formula1>B82:B91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Dashboard</vt:lpstr>
      <vt:lpstr>Data</vt:lpstr>
      <vt:lpstr>Asset Model</vt:lpstr>
      <vt:lpstr>FCF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2023-01-14T14:44:32Z</dcterms:modified>
  <cp:category/>
  <cp:contentStatus/>
</cp:coreProperties>
</file>