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8DAF7044-5FC4-48B9-8720-F82D48B196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5" i="2" l="1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D35" i="4"/>
  <c r="D36" i="4" s="1"/>
  <c r="D37" i="4" s="1"/>
  <c r="F27" i="4"/>
  <c r="H23" i="7"/>
  <c r="E7" i="4" s="1"/>
  <c r="F31" i="4"/>
  <c r="I20" i="7"/>
  <c r="D12" i="4" l="1"/>
  <c r="D38" i="4"/>
  <c r="D39" i="4" s="1"/>
  <c r="I25" i="7"/>
  <c r="F4" i="4"/>
  <c r="H25" i="7"/>
  <c r="F8" i="4"/>
  <c r="F28" i="4" s="1"/>
  <c r="F32" i="4" s="1"/>
  <c r="F33" i="4" s="1"/>
  <c r="F34" i="4" s="1"/>
  <c r="F5" i="4" l="1"/>
  <c r="F10" i="4"/>
  <c r="F9" i="4"/>
  <c r="F11" i="4" l="1"/>
  <c r="F12" i="4" s="1"/>
  <c r="G11" i="4"/>
  <c r="F35" i="4"/>
  <c r="F36" i="4" s="1"/>
  <c r="F37" i="4" s="1"/>
  <c r="F38" i="4"/>
  <c r="F39" i="4" s="1"/>
  <c r="J18" i="1" l="1"/>
  <c r="H18" i="1"/>
  <c r="E27" i="4"/>
  <c r="E4" i="4"/>
  <c r="E35" i="4" s="1"/>
  <c r="E36" i="4" s="1"/>
  <c r="G38" i="4" s="1"/>
  <c r="E5" i="4" l="1"/>
  <c r="E37" i="4"/>
  <c r="E8" i="4"/>
  <c r="E38" i="4"/>
  <c r="G2" i="4"/>
  <c r="G26" i="4" s="1"/>
  <c r="E9" i="4" l="1"/>
  <c r="G9" i="4" s="1"/>
  <c r="E28" i="4"/>
  <c r="E32" i="4" l="1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<sst xmlns="http://schemas.openxmlformats.org/spreadsheetml/2006/main" count="483" uniqueCount="415">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</sst>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3" zoomScaleNormal="100" workbookViewId="0">
      <selection activeCell="D13" sqref="D1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398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399</v>
      </c>
      <c r="D4" s="319"/>
      <c r="E4" s="6"/>
      <c r="G4" s="5" t="s">
        <v>5</v>
      </c>
      <c r="I4" s="221">
        <v>8.9700000000000006</v>
      </c>
      <c r="J4" s="222" t="s">
        <v>6</v>
      </c>
      <c r="K4" s="92"/>
    </row>
    <row r="5" spans="1:12" ht="15.75" customHeight="1">
      <c r="B5" s="5" t="s">
        <v>7</v>
      </c>
      <c r="C5" s="351">
        <v>44956</v>
      </c>
      <c r="D5" s="319"/>
      <c r="E5" s="79" t="str">
        <f ca="1">IF(C5+30&gt;=TODAY(),"Patience Premium","")</f>
        <v/>
      </c>
      <c r="G5" s="5" t="s">
        <v>8</v>
      </c>
      <c r="I5" s="318">
        <v>8171879936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58">
        <f>I4*I5/1000000</f>
        <v>73301.763025919994</v>
      </c>
      <c r="J6" s="358"/>
      <c r="K6" s="91"/>
    </row>
    <row r="7" spans="1:12" ht="15.75" customHeight="1">
      <c r="B7" s="86" t="s">
        <v>10</v>
      </c>
      <c r="C7" s="218">
        <f>(Data!C42*Exchange_Rate)/I4</f>
        <v>4.1659120789771388E-2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12.780593184135848</v>
      </c>
      <c r="J9" s="166">
        <f>IF(I9="NNI","NNI",1/I9)</f>
        <v>7.8243629665113584E-2</v>
      </c>
    </row>
    <row r="10" spans="1:12" ht="15.75" customHeight="1">
      <c r="B10" s="3" t="s">
        <v>226</v>
      </c>
      <c r="C10" s="122" t="s">
        <v>407</v>
      </c>
      <c r="D10" s="122">
        <v>3.814E-2</v>
      </c>
      <c r="E10" s="5"/>
      <c r="G10" s="85" t="s">
        <v>329</v>
      </c>
      <c r="H10" s="84"/>
      <c r="I10" s="165">
        <f>I4/(Data!C29*I12*Data!C4/Common_Shares)</f>
        <v>0.46326518975369263</v>
      </c>
      <c r="J10" s="223">
        <f>I4/(Data!C7*Data!C4/Common_Shares*Exchange_Rate)</f>
        <v>4.71267474736492</v>
      </c>
    </row>
    <row r="11" spans="1:12" ht="15.75" customHeight="1" thickBot="1">
      <c r="B11" s="124" t="s">
        <v>227</v>
      </c>
      <c r="C11" s="328">
        <f ca="1">C12-D10</f>
        <v>2.1859999999999997E-2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0.06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9.5834798920710025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8.9700000000000006</v>
      </c>
      <c r="C16" s="344">
        <v>0.2</v>
      </c>
      <c r="D16" s="238">
        <f ca="1">I37/B16-(1+C16)</f>
        <v>-1.6856732471297597E-2</v>
      </c>
      <c r="E16" s="338" t="s">
        <v>21</v>
      </c>
      <c r="F16" s="359">
        <f>(Val_Models!G16)*Exchange_Rate</f>
        <v>5.5897792234107548</v>
      </c>
      <c r="G16" s="338" t="s">
        <v>22</v>
      </c>
      <c r="H16" s="239">
        <f>B16-$F$16</f>
        <v>3.3802207765892458</v>
      </c>
      <c r="I16" s="333">
        <v>0.42</v>
      </c>
      <c r="J16" s="166">
        <f>I16/B16</f>
        <v>4.6822742474916385E-2</v>
      </c>
    </row>
    <row r="17" spans="1:10" ht="15.75" customHeight="1">
      <c r="B17" s="116">
        <f ca="1">MIN((I37+I38)/2,I37/(1+C16), IF(J20=0,E14,I37/(1+C16)))</f>
        <v>8.843995924777051</v>
      </c>
      <c r="C17" s="345"/>
      <c r="D17" s="149">
        <f ca="1">I37/B17-(1+C16)</f>
        <v>0</v>
      </c>
      <c r="E17" s="339"/>
      <c r="F17" s="360"/>
      <c r="G17" s="339"/>
      <c r="H17" s="236">
        <f ca="1">B17-$F$16</f>
        <v>3.2542167013662961</v>
      </c>
      <c r="I17" s="334"/>
      <c r="J17" s="149">
        <f ca="1">I16/B17</f>
        <v>4.7489845492052034E-2</v>
      </c>
    </row>
    <row r="18" spans="1:10" ht="15.75" customHeight="1">
      <c r="B18" s="129">
        <f>C37</f>
        <v>8.1999999999999993</v>
      </c>
      <c r="C18" s="346"/>
      <c r="D18" s="237">
        <f ca="1">I37/B18-(1+C16)</f>
        <v>9.4243306064934584E-2</v>
      </c>
      <c r="E18" s="340"/>
      <c r="F18" s="361"/>
      <c r="G18" s="340"/>
      <c r="H18" s="98">
        <f>B18-$F$16</f>
        <v>2.6102207765892445</v>
      </c>
      <c r="I18" s="335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414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4" t="s">
        <v>400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401</v>
      </c>
      <c r="D22" s="349"/>
      <c r="E22" s="349"/>
      <c r="F22" s="349"/>
      <c r="G22" s="363" t="s">
        <v>403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402</v>
      </c>
      <c r="D23" s="337"/>
      <c r="E23" s="337"/>
      <c r="F23" s="337"/>
      <c r="G23" s="336" t="s">
        <v>404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405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406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>
        <v>44988</v>
      </c>
      <c r="D28" s="353"/>
      <c r="E28" s="343" t="str">
        <f>IF(C28="","","Action_Planning")</f>
        <v>Action_Planning</v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0.28909090909090907</v>
      </c>
      <c r="D29" s="326"/>
      <c r="E29" s="331">
        <f>E33/D27</f>
        <v>0.24848484848484848</v>
      </c>
      <c r="F29" s="326"/>
      <c r="G29" s="342">
        <f>G33/D27</f>
        <v>0</v>
      </c>
      <c r="H29" s="342"/>
      <c r="I29" s="341">
        <f>C29+E29+G29</f>
        <v>0.5375757575757576</v>
      </c>
      <c r="J29" s="341"/>
    </row>
    <row r="30" spans="1:10" ht="15.75" customHeight="1">
      <c r="B30" s="18" t="s">
        <v>32</v>
      </c>
      <c r="C30" s="318">
        <v>20000</v>
      </c>
      <c r="D30" s="319"/>
      <c r="E30" s="318">
        <v>20000</v>
      </c>
      <c r="F30" s="319"/>
      <c r="G30" s="318"/>
      <c r="H30" s="318"/>
      <c r="I30" s="347">
        <f>C30+E30+G30</f>
        <v>40000</v>
      </c>
      <c r="J30" s="347"/>
    </row>
    <row r="31" spans="1:10" ht="15.75" customHeight="1">
      <c r="B31" s="18" t="s">
        <v>33</v>
      </c>
      <c r="C31" s="320">
        <v>9.5399999999999991</v>
      </c>
      <c r="D31" s="319"/>
      <c r="E31" s="320">
        <v>8.1999999999999993</v>
      </c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77959.734589439991</v>
      </c>
      <c r="D32" s="326"/>
      <c r="E32" s="327">
        <f>E31*$I$5/1000000</f>
        <v>67009.415475200003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190799.99999999997</v>
      </c>
      <c r="D33" s="324"/>
      <c r="E33" s="323">
        <f>E30*E31</f>
        <v>164000</v>
      </c>
      <c r="F33" s="324"/>
      <c r="G33" s="323">
        <f>G30*G31</f>
        <v>0</v>
      </c>
      <c r="H33" s="323"/>
      <c r="I33" s="323">
        <f>C33+E33+G33</f>
        <v>354800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8.8699999999999992</v>
      </c>
      <c r="F34" s="326"/>
      <c r="G34" s="78"/>
      <c r="H34" s="78"/>
      <c r="I34" s="325">
        <f>IF(I33=0,"",I33/I30)</f>
        <v>8.8699999999999992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72484.57503231999</v>
      </c>
      <c r="F35" s="322"/>
      <c r="G35" s="230"/>
      <c r="H35" s="230"/>
      <c r="I35" s="321">
        <f>IF(I34="","",I34*$I$5/1000000)</f>
        <v>72484.57503231999</v>
      </c>
      <c r="J35" s="321"/>
    </row>
    <row r="36" spans="2:11" ht="15.75" customHeight="1"/>
    <row r="37" spans="2:11" ht="15.75" customHeight="1">
      <c r="B37" s="87" t="s">
        <v>256</v>
      </c>
      <c r="C37" s="371">
        <f>E31</f>
        <v>8.1999999999999993</v>
      </c>
      <c r="D37" s="372"/>
      <c r="E37" s="79" t="str">
        <f ca="1">IF(C37&gt;B17,"Caution! &gt; Breakeven price!","")</f>
        <v/>
      </c>
      <c r="F37" s="6"/>
      <c r="G37" s="368" t="s">
        <v>315</v>
      </c>
      <c r="H37" s="368"/>
      <c r="I37" s="369">
        <f ca="1">Val_Models!C46</f>
        <v>10.612795109732462</v>
      </c>
      <c r="J37" s="370"/>
    </row>
    <row r="38" spans="2:11" ht="15.75" customHeight="1">
      <c r="B38" s="87" t="s">
        <v>281</v>
      </c>
      <c r="C38" s="371">
        <f>E34</f>
        <v>8.8699999999999992</v>
      </c>
      <c r="D38" s="372"/>
      <c r="E38" s="6"/>
      <c r="F38" s="6"/>
      <c r="G38" s="368" t="s">
        <v>280</v>
      </c>
      <c r="H38" s="368"/>
      <c r="I38" s="369">
        <f ca="1">Val_Models!C47</f>
        <v>8.4269096351545389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0.11245231758201912</v>
      </c>
      <c r="F47" s="171">
        <f ca="1">I37/C38-1</f>
        <v>0.19648197403973655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-0.11667613887268979</v>
      </c>
      <c r="F48" s="171">
        <f ca="1">Val_Models!C47/C38-1</f>
        <v>-4.9953817908169107E-2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0.64870807328358726</v>
      </c>
      <c r="F50" s="171">
        <f ca="1">IF(F47&lt;=0,0,AVERAGE(F41:F44,0.5*(1+F47+F48-C16)))</f>
        <v>0.66378327102581114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0.96379875669969284</v>
      </c>
      <c r="F51" s="234">
        <f ca="1">IF(F48&gt;=0,100,F47/ABS(F48))</f>
        <v>3.9332724157527355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104.44632899304469</v>
      </c>
      <c r="F52" s="232">
        <f ca="1">MAX(C16*2.5/F47,1)+IF(F47&lt;C16,100,0)+IF(D18&lt;0,100,0)+IF(J20=1,2/(1+F47+F48-C16),0)</f>
        <v>102.54476270631768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2.7212183894257816E-3</v>
      </c>
      <c r="F53" s="217">
        <f ca="1">MIN(MAX(F50-ABS((1-F50)/F51),0)/F52,H53)</f>
        <v>5.6395188061061216E-3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395</v>
      </c>
    </row>
    <row r="65" spans="2:2" ht="15.75" customHeight="1">
      <c r="B65" s="3" t="s">
        <v>397</v>
      </c>
    </row>
    <row r="66" spans="2:2" ht="15.75" customHeight="1">
      <c r="B66" s="3" t="s">
        <v>396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3" zoomScaleNormal="100" workbookViewId="0">
      <selection activeCell="D35" sqref="D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375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350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342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369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341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344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359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371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377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376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378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3.9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3.9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348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347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3.9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389</v>
      </c>
      <c r="G23" s="6"/>
      <c r="H23" s="6"/>
      <c r="I23" s="6"/>
    </row>
    <row r="24" spans="2:10" ht="15" customHeight="1">
      <c r="B24" s="41" t="s">
        <v>379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387</v>
      </c>
      <c r="I24" s="312">
        <f>I11+I12+I13</f>
        <v>3966626.6229999997</v>
      </c>
    </row>
    <row r="25" spans="2:10" ht="15" customHeight="1">
      <c r="B25" s="41" t="s">
        <v>383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390</v>
      </c>
      <c r="I25" s="184">
        <f>E28/I28</f>
        <v>4.0755248285352721</v>
      </c>
    </row>
    <row r="26" spans="2:10" ht="15" customHeight="1">
      <c r="B26" s="41" t="s">
        <v>381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382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3.9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349</v>
      </c>
      <c r="I33" s="179">
        <v>0</v>
      </c>
      <c r="J33" s="6"/>
    </row>
    <row r="34" spans="2:10" ht="13.9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3.9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3.9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380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388</v>
      </c>
      <c r="I44" s="312">
        <f>I30+I31+I32</f>
        <v>2772891.7280000001</v>
      </c>
    </row>
    <row r="45" spans="2:10" ht="15" customHeight="1">
      <c r="B45" s="41" t="s">
        <v>384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385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386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375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47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3.9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346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3.9">
      <c r="B63" s="32" t="s">
        <v>116</v>
      </c>
      <c r="C63" s="6"/>
      <c r="D63" s="347">
        <f>((Dashboard!I6*Data!C4)+D55+E53-C61-C62)</f>
        <v>12335755.662919976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F20" sqref="F20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408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409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410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411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353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352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340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343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391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392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393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394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351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354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364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355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356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357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358</v>
      </c>
      <c r="J76" s="296"/>
      <c r="K76" s="296"/>
      <c r="L76" s="296"/>
      <c r="M76" s="296"/>
    </row>
    <row r="78" spans="2:13" ht="13.15">
      <c r="B78" s="297" t="s">
        <v>363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361</v>
      </c>
      <c r="J80" s="295"/>
      <c r="K80" s="295"/>
      <c r="L80" s="295"/>
      <c r="M80" s="295"/>
    </row>
    <row r="81" spans="2:13">
      <c r="B81" s="292" t="s">
        <v>362</v>
      </c>
      <c r="J81" s="295"/>
      <c r="K81" s="295"/>
      <c r="L81" s="295"/>
      <c r="M81" s="295"/>
    </row>
    <row r="82" spans="2:13">
      <c r="B82" s="292" t="s">
        <v>360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365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366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367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368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370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372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373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374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F22" sqref="F22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39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IF(F36="",IF(E36="",1,D38),E38)*(1+G35-C37)</f>
        <v>0.82302311074089507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-0.32316097715286851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68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10.533637043943173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9.5834798920710025</v>
      </c>
      <c r="D44" s="262" t="str">
        <f>Dashboard!J4</f>
        <v>HKD</v>
      </c>
      <c r="E44" s="263">
        <f ca="1">(C44-G16)/C9</f>
        <v>7.4808350244590871</v>
      </c>
      <c r="F44" s="263">
        <f ca="1">C44/(Data!C29*Exchange_Rate*Data!C4/Common_Shares)</f>
        <v>0.4949490112264181</v>
      </c>
      <c r="G44" s="263">
        <f ca="1">C44/(Data!C7*Data!C4*Exchange_Rate/Common_Shares)</f>
        <v>5.0349859174183385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412</v>
      </c>
    </row>
    <row r="46" spans="1:9" ht="15.75" customHeight="1">
      <c r="B46" s="257" t="s">
        <v>314</v>
      </c>
      <c r="C46" s="258">
        <f ca="1">MIN(C45,C44)+ABS(C45-C44)*Qualitative_Analysis!E64</f>
        <v>10.612795109732462</v>
      </c>
      <c r="D46" s="256" t="str">
        <f>D45</f>
        <v>HKD</v>
      </c>
      <c r="E46" s="223">
        <f ca="1">(C46-G16)/C9</f>
        <v>9.4089057464127457</v>
      </c>
      <c r="F46" s="223">
        <f ca="1">C46/(Asset_Model!I3*Exchange_Rate*Data!C4/Common_Shares)</f>
        <v>0.54434267322621377</v>
      </c>
      <c r="G46" s="223">
        <f ca="1">C46/(Data!C7*Data!C4*Exchange_Rate/Common_Shares)</f>
        <v>5.5757693993973332</v>
      </c>
    </row>
    <row r="47" spans="1:9" ht="15.75" customHeight="1">
      <c r="B47" s="84" t="s">
        <v>280</v>
      </c>
      <c r="C47" s="259">
        <f ca="1">MAX(G41,C44)/(1+Dashboard!I14)</f>
        <v>8.4269096351545389</v>
      </c>
      <c r="D47" s="260" t="str">
        <f>D45</f>
        <v>HKD</v>
      </c>
      <c r="E47" s="224">
        <f ca="1">(C47-G16)/C9</f>
        <v>5.3143954226922334</v>
      </c>
      <c r="F47" s="224">
        <f ca="1">C47/(Asset_Model!I3*Exchange_Rate*Data!C4/Common_Shares)</f>
        <v>0.43222605076292631</v>
      </c>
      <c r="G47" s="224">
        <f ca="1">C47/(Data!C7*Data!C4*Exchange_Rate/Common_Shares)</f>
        <v>4.4273449538371148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345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413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2023-08-29T12:05:19Z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