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71530269-2400-4FFF-9766-E96D5FC8FDEE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I19" i="7" l="1"/>
  <c r="H19" i="7"/>
  <c r="G14" i="7"/>
  <c r="G13" i="7" s="1"/>
  <c r="G10" i="7"/>
  <c r="G11" i="7" s="1"/>
  <c r="G8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C45" i="4" l="1"/>
  <c r="C38" i="3" l="1"/>
  <c r="C17" i="3"/>
  <c r="I16" i="7" l="1"/>
  <c r="C29" i="4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4" i="7"/>
  <c r="I22" i="7"/>
  <c r="I23" i="7"/>
  <c r="C4" i="4"/>
  <c r="F25" i="7"/>
  <c r="C55" i="2"/>
  <c r="G17" i="7"/>
  <c r="D44" i="3"/>
  <c r="D45" i="3"/>
  <c r="G15" i="4"/>
  <c r="J27" i="3"/>
  <c r="D25" i="3"/>
  <c r="C6" i="4" l="1"/>
  <c r="D6" i="3"/>
  <c r="D7" i="3" s="1"/>
  <c r="G16" i="7"/>
  <c r="G15" i="7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G23" i="7"/>
  <c r="D7" i="4" s="1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5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D10" i="4"/>
  <c r="F3" i="4"/>
  <c r="E31" i="4"/>
  <c r="I18" i="7"/>
  <c r="H20" i="7"/>
  <c r="D11" i="4" l="1"/>
  <c r="D35" i="4"/>
  <c r="D36" i="4" s="1"/>
  <c r="D37" i="4" s="1"/>
  <c r="F27" i="4"/>
  <c r="H23" i="7"/>
  <c r="E7" i="4" s="1"/>
  <c r="F31" i="4"/>
  <c r="I20" i="7"/>
  <c r="D38" i="4" l="1"/>
  <c r="D39" i="4" s="1"/>
  <c r="D12" i="4"/>
  <c r="I25" i="7"/>
  <c r="F4" i="4"/>
  <c r="F8" i="4" s="1"/>
  <c r="F28" i="4" s="1"/>
  <c r="F32" i="4" s="1"/>
  <c r="F33" i="4" s="1"/>
  <c r="F34" i="4" s="1"/>
  <c r="H25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G11" i="4"/>
  <c r="E35" i="4"/>
  <c r="E36" i="4" s="1"/>
  <c r="E9" i="4"/>
  <c r="G9" i="4" s="1"/>
  <c r="E28" i="4"/>
  <c r="G38" i="4" l="1"/>
  <c r="E37" i="4"/>
  <c r="E12" i="4"/>
  <c r="E38" i="4"/>
  <c r="E32" i="4"/>
  <c r="E33" i="4" s="1"/>
  <c r="E34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<sst xmlns="http://schemas.openxmlformats.org/spreadsheetml/2006/main" count="479" uniqueCount="411">
  <si>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</si>
  <si>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</si>
  <si>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</si>
  <si>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</si>
  <si>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</si>
  <si>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</si>
  <si>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</si>
  <si>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</si>
  <si>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</si>
  <si>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</si>
  <si>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</si>
  <si>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</si>
  <si>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</si>
  <si>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</si>
  <si>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</si>
  <si>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</si>
  <si>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</si>
  <si>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</si>
  <si>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</si>
  <si>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</si>
  <si>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</si>
  <si>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</si>
  <si>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</si>
  <si>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</si>
  <si>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</si>
  <si>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</si>
  <si>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</si>
  <si>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</si>
  <si>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</si>
  <si>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</si>
  <si>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</si>
  <si>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</si>
  <si>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</si>
  <si>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</si>
  <si>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</si>
  <si>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</si>
  <si>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</si>
  <si>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</si>
  <si>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</si>
  <si>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</si>
  <si>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</si>
  <si>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</si>
  <si>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</si>
  <si>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</si>
  <si>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</si>
  <si>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</si>
  <si>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</si>
  <si>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</si>
  <si>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</si>
  <si>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</si>
  <si>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</si>
  <si>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</si>
  <si>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</si>
  <si>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</si>
  <si>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</si>
  <si>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</si>
  <si>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</si>
  <si>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</si>
  <si>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</si>
  <si>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</si>
  <si>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</si>
  <si>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</si>
  <si>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</si>
  <si>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</si>
  <si>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</si>
  <si>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</si>
  <si>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</si>
  <si>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</si>
  <si>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</si>
  <si>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</si>
  <si>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</si>
  <si>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</si>
  <si>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</si>
  <si>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</si>
  <si>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</si>
  <si>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</si>
  <si>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</si>
  <si>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</si>
  <si>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</si>
  <si>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</si>
  <si>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</si>
  <si>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</si>
  <si>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</si>
  <si>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</si>
  <si>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</si>
  <si>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</si>
  <si>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</si>
  <si>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</si>
  <si>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</si>
  <si>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</si>
  <si>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</si>
  <si>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</si>
  <si>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</si>
  <si>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</si>
  <si>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</si>
  <si>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</si>
  <si>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</si>
  <si>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</si>
  <si>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</si>
  <si>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</si>
  <si>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</si>
  <si>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</si>
  <si>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</si>
  <si>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</si>
  <si>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</si>
  <si>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</si>
  <si>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</si>
  <si>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</si>
  <si>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</si>
  <si>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</si>
  <si>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</si>
  <si>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</si>
  <si>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</si>
  <si>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</si>
  <si>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</si>
  <si>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</si>
  <si>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</si>
  <si>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</si>
  <si>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</si>
  <si>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</si>
  <si>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</si>
  <si>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</si>
  <si>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</si>
  <si>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</si>
  <si>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</si>
  <si>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</si>
  <si>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</si>
  <si>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</si>
  <si>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</si>
  <si>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</si>
  <si>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</si>
  <si>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</si>
  <si>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</si>
  <si>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</si>
  <si>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</si>
  <si>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</si>
  <si>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</si>
  <si>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</si>
  <si>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</si>
  <si>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</si>
  <si>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</si>
  <si>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</si>
  <si>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</si>
  <si>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</si>
  <si>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</si>
  <si>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</si>
  <si>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</si>
  <si>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</si>
  <si>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</si>
  <si>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</si>
  <si>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</si>
  <si>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</si>
  <si>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</si>
  <si>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</si>
  <si>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</si>
  <si>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</si>
  <si>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</si>
  <si>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</si>
  <si>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</si>
  <si>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</si>
  <si>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</si>
  <si>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</si>
  <si>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</si>
  <si>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</si>
  <si>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</si>
  <si>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</si>
  <si>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</si>
  <si>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</si>
  <si>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</si>
  <si>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</si>
  <si>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</si>
  <si>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</si>
  <si>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</si>
  <si>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</si>
  <si>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</si>
  <si>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</si>
  <si>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</si>
  <si>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</si>
  <si>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</si>
  <si>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</si>
  <si>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</si>
  <si>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</si>
  <si>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</si>
  <si>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</si>
  <si>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</si>
  <si>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</si>
  <si>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</si>
  <si>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</si>
  <si>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</si>
  <si>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</si>
  <si>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</si>
  <si>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</si>
  <si>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</si>
  <si>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</si>
  <si>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</si>
  <si>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</si>
  <si>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</si>
  <si>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</si>
  <si>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</si>
  <si>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</si>
  <si>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</si>
  <si>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</si>
  <si>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</si>
  <si>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</si>
  <si>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</si>
  <si>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</si>
  <si>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</si>
  <si>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</si>
  <si>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</si>
  <si>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</si>
  <si>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</si>
  <si>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</si>
  <si>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</si>
  <si>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</si>
  <si>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</si>
  <si>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</si>
  <si>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</si>
  <si>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</si>
  <si>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</si>
  <si>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</si>
  <si>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</si>
  <si>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</si>
  <si>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</si>
  <si>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</si>
  <si>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</si>
  <si>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</si>
  <si>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</si>
  <si>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</si>
  <si>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</si>
  <si>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</si>
  <si>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</si>
  <si>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</si>
  <si>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</si>
  <si>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</si>
  <si>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</si>
  <si>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</si>
  <si>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</si>
  <si>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</si>
  <si>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</si>
  <si>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</si>
  <si>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</si>
  <si>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</si>
  <si>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</si>
  <si>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</si>
  <si>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</si>
  <si>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</si>
  <si>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</si>
  <si>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</si>
  <si>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</si>
  <si>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</si>
  <si>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</si>
  <si>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</si>
  <si>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</si>
  <si>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</si>
  <si>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</si>
  <si>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</si>
  <si>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</si>
  <si>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</si>
  <si>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</si>
  <si>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</si>
  <si>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</si>
  <si>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</si>
  <si>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</si>
  <si>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</si>
  <si>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</si>
  <si>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</si>
  <si>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</si>
  <si>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</si>
  <si>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</si>
  <si>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</si>
  <si>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</si>
  <si>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</si>
  <si>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</si>
  <si>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</si>
  <si>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</si>
  <si>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</si>
  <si>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</si>
  <si>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</si>
  <si>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</si>
  <si>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</si>
  <si>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</si>
  <si>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</si>
  <si>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</si>
  <si>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</si>
  <si>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</si>
  <si>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</si>
  <si>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</si>
  <si>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</si>
  <si>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</si>
  <si>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</si>
  <si>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</si>
  <si>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</si>
  <si>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</si>
  <si>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</si>
  <si>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</si>
  <si>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</si>
  <si>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</si>
  <si>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</si>
  <si>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</si>
  <si>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</si>
  <si>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</si>
  <si>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</si>
  <si>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</si>
  <si>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</si>
  <si>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</si>
  <si>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</si>
  <si>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</si>
  <si>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</si>
  <si>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</si>
  <si>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</si>
  <si>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</si>
  <si>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</si>
  <si>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</si>
  <si>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</si>
  <si>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</si>
  <si>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</si>
  <si>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</si>
  <si>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</si>
  <si>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</si>
  <si>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</si>
  <si>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</si>
  <si>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</si>
  <si>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</si>
  <si>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</si>
  <si>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</si>
  <si>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</si>
  <si>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</si>
  <si>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</si>
  <si>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</si>
  <si>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</si>
  <si>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</si>
  <si>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</si>
  <si>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</si>
  <si>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</si>
  <si>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</si>
  <si>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</si>
  <si>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</si>
  <si>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</si>
  <si>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</si>
  <si>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</si>
  <si>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</si>
  <si>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</si>
  <si>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</si>
  <si>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</si>
  <si>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</si>
  <si>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</si>
  <si>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</si>
  <si>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</si>
  <si>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</si>
  <si>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</si>
  <si>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</si>
  <si>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</si>
  <si>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</si>
  <si>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</si>
  <si>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</si>
  <si>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</si>
  <si>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</si>
  <si>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</si>
  <si>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</si>
  <si>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</si>
  <si>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</si>
  <si>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</si>
  <si>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</si>
  <si>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</si>
  <si>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</si>
  <si>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</si>
  <si>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</si>
  <si>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</si>
  <si>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</si>
  <si>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</si>
  <si>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</si>
  <si>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</si>
  <si>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</si>
  <si>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</si>
  <si>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</si>
  <si>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</si>
  <si>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</si>
  <si>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</si>
  <si>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</si>
  <si>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</si>
  <si>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</si>
  <si>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</si>
  <si>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</si>
  <si>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</si>
  <si>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</si>
  <si>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</si>
  <si>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</si>
  <si>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</si>
  <si>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</si>
  <si>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</si>
  <si>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</si>
  <si>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</si>
  <si>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</si>
  <si>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CHEERWIN GP</t>
  </si>
  <si>
    <t>CNY</t>
  </si>
  <si>
    <t>FY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</si>
  <si>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</si>
  <si>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</si>
  <si>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
3. 不是港股通的一员，交易量小</t>
  </si>
  <si>
    <t>1. 宠物护理市场竞争大，现在公司优势很小</t>
  </si>
  <si>
    <t>1. 宠物护理市场广阔，是可持续增长的业务
2. 公司很多现金，可用通过M&amp;A快速做大宠物业务</t>
  </si>
  <si>
    <t>CN</t>
  </si>
  <si>
    <t>Consumer Discretionary, 12.4y</t>
  </si>
  <si>
    <t>Current Industry average PB is 1.01, while 5yrs average is 1.38</t>
  </si>
  <si>
    <t>No</t>
  </si>
  <si>
    <t>1. 家居清潔業務处于红海市场，容量可能持续萎缩
2. 宠物护理市场容量及基数都较小，不足以取代家居清潔業務
3. 主要业务毛利率过低</t>
  </si>
  <si>
    <t>1. No. 传统业务肯定很难改变，但也不会像市场想象的那么悲观，公司产品是有竞争力及需求的
2. No. 宠物护理基数太小，短期没有替代作用
3. No. 主营业务护城河太浅，经济不好毛利率自然差</t>
  </si>
  <si>
    <t>家居护理</t>
  </si>
  <si>
    <t>个人护理</t>
  </si>
  <si>
    <t>宠物产品</t>
  </si>
  <si>
    <t xml:space="preserve">Asset Plays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</si>
</sst>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4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4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2" fontId="1" fillId="0" borderId="9" xfId="0" applyNumberFormat="1" applyFont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5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2" zoomScaleNormal="100" workbookViewId="0">
      <selection activeCell="B48" sqref="B48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CHEERWIN GP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48" t="s">
        <v>392</v>
      </c>
      <c r="D3" s="349"/>
      <c r="E3" s="6"/>
      <c r="G3" s="7" t="s">
        <v>2</v>
      </c>
      <c r="I3" s="357" t="s">
        <v>3</v>
      </c>
      <c r="J3" s="357"/>
    </row>
    <row r="4" spans="1:12" ht="15.75" customHeight="1">
      <c r="B4" s="5" t="s">
        <v>4</v>
      </c>
      <c r="C4" s="350" t="s">
        <v>393</v>
      </c>
      <c r="D4" s="319"/>
      <c r="E4" s="6"/>
      <c r="G4" s="5" t="s">
        <v>5</v>
      </c>
      <c r="I4" s="221">
        <v>1.69</v>
      </c>
      <c r="J4" s="222" t="s">
        <v>6</v>
      </c>
      <c r="K4" s="92"/>
    </row>
    <row r="5" spans="1:12" ht="15.75" customHeight="1">
      <c r="B5" s="5" t="s">
        <v>7</v>
      </c>
      <c r="C5" s="351">
        <v>44931</v>
      </c>
      <c r="D5" s="319"/>
      <c r="E5" s="79" t="str">
        <f ca="1">IF(C5+30&gt;=TODAY(),"Patience Premium","")</f>
        <v/>
      </c>
      <c r="G5" s="5" t="s">
        <v>8</v>
      </c>
      <c r="I5" s="318">
        <v>1333330048</v>
      </c>
      <c r="J5" s="318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44926</v>
      </c>
      <c r="G6" s="85" t="s">
        <v>9</v>
      </c>
      <c r="H6" s="84"/>
      <c r="I6" s="358">
        <f>I4*I5/1000000</f>
        <v>2253.3277811200001</v>
      </c>
      <c r="J6" s="358"/>
      <c r="K6" s="91"/>
    </row>
    <row r="7" spans="1:12" ht="15.75" customHeight="1">
      <c r="B7" s="86" t="s">
        <v>10</v>
      </c>
      <c r="C7" s="218">
        <f>(Data!C42*Exchange_Rate)/I4</f>
        <v>4.6326051617126843E-2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32.058382158711957</v>
      </c>
      <c r="J9" s="166">
        <f>IF(I9="NNI","NNI",1/I9)</f>
        <v>3.1193090002149319E-2</v>
      </c>
    </row>
    <row r="10" spans="1:12" ht="15.75" customHeight="1">
      <c r="B10" s="3" t="s">
        <v>226</v>
      </c>
      <c r="C10" s="122" t="s">
        <v>401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0.73592494321644153</v>
      </c>
      <c r="J10" s="223">
        <f>I4/(Data!C7*Data!C4/Common_Shares*Exchange_Rate)</f>
        <v>1.4388765153186223</v>
      </c>
    </row>
    <row r="11" spans="1:12" ht="15.75" customHeight="1" thickBot="1">
      <c r="B11" s="124" t="s">
        <v>227</v>
      </c>
      <c r="C11" s="328">
        <f ca="1">C12-D10</f>
        <v>5.1000000000000004E-2</v>
      </c>
      <c r="D11" s="329"/>
      <c r="E11" s="13"/>
      <c r="G11" s="5" t="s">
        <v>14</v>
      </c>
      <c r="H11" s="6"/>
      <c r="I11" s="357" t="s">
        <v>394</v>
      </c>
      <c r="J11" s="357"/>
    </row>
    <row r="12" spans="1:12" ht="15.75" customHeight="1" thickTop="1">
      <c r="B12" s="125" t="s">
        <v>124</v>
      </c>
      <c r="C12" s="364">
        <f ca="1">IF(C10="CN",8%,6%)*IF($C$5+30&gt;=TODAY(),1.2,1)</f>
        <v>0.08</v>
      </c>
      <c r="D12" s="365"/>
      <c r="G12" s="85" t="s">
        <v>15</v>
      </c>
      <c r="H12" s="84"/>
      <c r="I12" s="226">
        <v>1.0858683188756306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2.0680797670058966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1.69</v>
      </c>
      <c r="C16" s="344">
        <v>0.2</v>
      </c>
      <c r="D16" s="238">
        <f ca="1">I37/B16-(1+C16)</f>
        <v>0.12001135084512882</v>
      </c>
      <c r="E16" s="338" t="s">
        <v>21</v>
      </c>
      <c r="F16" s="359">
        <f>(Val_Models!G16)*Exchange_Rate</f>
        <v>2.2449648200886565</v>
      </c>
      <c r="G16" s="338" t="s">
        <v>22</v>
      </c>
      <c r="H16" s="239">
        <f>B16-$F$16</f>
        <v>-0.55496482008865655</v>
      </c>
      <c r="I16" s="333">
        <f>0.28+0.21</f>
        <v>0.49</v>
      </c>
      <c r="J16" s="166">
        <f>I16/B16</f>
        <v>0.28994082840236685</v>
      </c>
    </row>
    <row r="17" spans="1:10" ht="15.75" customHeight="1">
      <c r="B17" s="116">
        <f ca="1">MIN((I37+I38)/2,I37/(1+C16), IF(J20=0,E14,I37/(1+C16)))</f>
        <v>1.8590159857735564</v>
      </c>
      <c r="C17" s="345"/>
      <c r="D17" s="149">
        <f ca="1">I37/B17-(1+C16)</f>
        <v>0</v>
      </c>
      <c r="E17" s="339"/>
      <c r="F17" s="360"/>
      <c r="G17" s="339"/>
      <c r="H17" s="236">
        <f ca="1">B17-$F$16</f>
        <v>-0.38594883431510008</v>
      </c>
      <c r="I17" s="334"/>
      <c r="J17" s="149">
        <f ca="1">I16/B17</f>
        <v>0.26358030471486543</v>
      </c>
    </row>
    <row r="18" spans="1:10" ht="15.75" customHeight="1">
      <c r="B18" s="129">
        <f>C37</f>
        <v>1.5</v>
      </c>
      <c r="C18" s="346"/>
      <c r="D18" s="237">
        <f ca="1">I37/B18-(1+C16)</f>
        <v>0.28721278861884514</v>
      </c>
      <c r="E18" s="340"/>
      <c r="F18" s="361"/>
      <c r="G18" s="340"/>
      <c r="H18" s="98">
        <f>B18-$F$16</f>
        <v>-0.7449648200886565</v>
      </c>
      <c r="I18" s="335"/>
      <c r="J18" s="158">
        <f>I16/B18</f>
        <v>0.32666666666666666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410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4" t="s">
        <v>396</v>
      </c>
      <c r="D21" s="355"/>
      <c r="E21" s="356"/>
      <c r="F21" s="356"/>
      <c r="G21" s="356"/>
      <c r="H21" s="356"/>
      <c r="I21" s="356"/>
      <c r="J21" s="356"/>
    </row>
    <row r="22" spans="1:10" ht="52.5" customHeight="1">
      <c r="A22" s="6"/>
      <c r="B22" s="19" t="s">
        <v>25</v>
      </c>
      <c r="C22" s="363" t="s">
        <v>397</v>
      </c>
      <c r="D22" s="349"/>
      <c r="E22" s="349"/>
      <c r="F22" s="349"/>
      <c r="G22" s="363" t="s">
        <v>398</v>
      </c>
      <c r="H22" s="363"/>
      <c r="I22" s="349"/>
      <c r="J22" s="349"/>
    </row>
    <row r="23" spans="1:10" ht="52.5" customHeight="1">
      <c r="A23" s="6"/>
      <c r="B23" s="138" t="s">
        <v>26</v>
      </c>
      <c r="C23" s="336" t="s">
        <v>400</v>
      </c>
      <c r="D23" s="337"/>
      <c r="E23" s="337"/>
      <c r="F23" s="337"/>
      <c r="G23" s="336" t="s">
        <v>399</v>
      </c>
      <c r="H23" s="336"/>
      <c r="I23" s="337"/>
      <c r="J23" s="337"/>
    </row>
    <row r="24" spans="1:10" ht="52.5" customHeight="1">
      <c r="A24" s="6"/>
      <c r="B24" s="19" t="s">
        <v>291</v>
      </c>
      <c r="C24" s="366" t="s">
        <v>405</v>
      </c>
      <c r="D24" s="366"/>
      <c r="E24" s="366"/>
      <c r="F24" s="366"/>
      <c r="G24" s="366"/>
      <c r="H24" s="366"/>
      <c r="I24" s="366"/>
      <c r="J24" s="366"/>
    </row>
    <row r="25" spans="1:10" ht="52.5" customHeight="1">
      <c r="A25" s="6"/>
      <c r="B25" s="138" t="s">
        <v>290</v>
      </c>
      <c r="C25" s="367" t="s">
        <v>406</v>
      </c>
      <c r="D25" s="367"/>
      <c r="E25" s="367"/>
      <c r="F25" s="367"/>
      <c r="G25" s="367"/>
      <c r="H25" s="367"/>
      <c r="I25" s="367"/>
      <c r="J25" s="36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2">
        <v>44932</v>
      </c>
      <c r="D28" s="353"/>
      <c r="E28" s="343" t="str">
        <f>IF(C28="","","Action_Planning")</f>
        <v>Action_Planning</v>
      </c>
      <c r="F28" s="343"/>
      <c r="G28" s="343"/>
      <c r="H28" s="343"/>
      <c r="I28" s="362" t="s">
        <v>30</v>
      </c>
      <c r="J28" s="362"/>
    </row>
    <row r="29" spans="1:10" ht="15.75" customHeight="1">
      <c r="B29" s="18" t="s">
        <v>31</v>
      </c>
      <c r="C29" s="332">
        <f>C33/D27</f>
        <v>0.15545454545454546</v>
      </c>
      <c r="D29" s="326"/>
      <c r="E29" s="331">
        <f>E33/D27</f>
        <v>0.13636363636363635</v>
      </c>
      <c r="F29" s="326"/>
      <c r="G29" s="342">
        <f>G33/D27</f>
        <v>0</v>
      </c>
      <c r="H29" s="342"/>
      <c r="I29" s="341">
        <f>C29+E29+G29</f>
        <v>0.29181818181818181</v>
      </c>
      <c r="J29" s="341"/>
    </row>
    <row r="30" spans="1:10" ht="15.75" customHeight="1">
      <c r="B30" s="18" t="s">
        <v>32</v>
      </c>
      <c r="C30" s="318">
        <v>60000</v>
      </c>
      <c r="D30" s="319"/>
      <c r="E30" s="318">
        <v>60000</v>
      </c>
      <c r="F30" s="319"/>
      <c r="G30" s="318"/>
      <c r="H30" s="318"/>
      <c r="I30" s="347">
        <f>C30+E30+G30</f>
        <v>120000</v>
      </c>
      <c r="J30" s="347"/>
    </row>
    <row r="31" spans="1:10" ht="15.75" customHeight="1">
      <c r="B31" s="18" t="s">
        <v>33</v>
      </c>
      <c r="C31" s="320">
        <v>1.71</v>
      </c>
      <c r="D31" s="319"/>
      <c r="E31" s="320">
        <v>1.5</v>
      </c>
      <c r="F31" s="319"/>
      <c r="G31" s="320"/>
      <c r="H31" s="320"/>
      <c r="I31" s="330"/>
      <c r="J31" s="330"/>
    </row>
    <row r="32" spans="1:10" ht="15.75" customHeight="1">
      <c r="B32" s="18" t="s">
        <v>34</v>
      </c>
      <c r="C32" s="327">
        <f>C31*$I$5/1000000</f>
        <v>2279.9943820799999</v>
      </c>
      <c r="D32" s="326"/>
      <c r="E32" s="327">
        <f>E31*$I$5/1000000</f>
        <v>1999.9950719999999</v>
      </c>
      <c r="F32" s="326"/>
      <c r="G32" s="327">
        <f>G31*$I$5/1000000</f>
        <v>0</v>
      </c>
      <c r="H32" s="327"/>
      <c r="I32" s="330"/>
      <c r="J32" s="330"/>
    </row>
    <row r="33" spans="2:11" ht="15.75" customHeight="1">
      <c r="B33" s="2" t="s">
        <v>35</v>
      </c>
      <c r="C33" s="323">
        <f>C30*C31</f>
        <v>102600</v>
      </c>
      <c r="D33" s="324"/>
      <c r="E33" s="323">
        <f>E30*E31</f>
        <v>90000</v>
      </c>
      <c r="F33" s="324"/>
      <c r="G33" s="323">
        <f>G30*G31</f>
        <v>0</v>
      </c>
      <c r="H33" s="323"/>
      <c r="I33" s="323">
        <f>C33+E33+G33</f>
        <v>192600</v>
      </c>
      <c r="J33" s="323"/>
    </row>
    <row r="34" spans="2:11" ht="15.75" customHeight="1">
      <c r="B34" s="1" t="s">
        <v>36</v>
      </c>
      <c r="C34" s="330"/>
      <c r="D34" s="373"/>
      <c r="E34" s="325">
        <f>IF(C33=0,"-",(C33+E33)/(C30+E30))</f>
        <v>1.605</v>
      </c>
      <c r="F34" s="326"/>
      <c r="G34" s="78"/>
      <c r="H34" s="78"/>
      <c r="I34" s="325">
        <f>IF(I33=0,"",I33/I30)</f>
        <v>1.605</v>
      </c>
      <c r="J34" s="325"/>
    </row>
    <row r="35" spans="2:11" ht="15.75" customHeight="1">
      <c r="B35" s="1" t="s">
        <v>37</v>
      </c>
      <c r="C35" s="374"/>
      <c r="D35" s="375"/>
      <c r="E35" s="321">
        <f>IF(E34="-","-",E34*$I$5/1000000)</f>
        <v>2139.9947270399998</v>
      </c>
      <c r="F35" s="322"/>
      <c r="G35" s="230"/>
      <c r="H35" s="230"/>
      <c r="I35" s="321">
        <f>IF(I34="","",I34*$I$5/1000000)</f>
        <v>2139.9947270399998</v>
      </c>
      <c r="J35" s="321"/>
    </row>
    <row r="36" spans="2:11" ht="15.75" customHeight="1"/>
    <row r="37" spans="2:11" ht="15.75" customHeight="1">
      <c r="B37" s="87" t="s">
        <v>255</v>
      </c>
      <c r="C37" s="371">
        <f>E31</f>
        <v>1.5</v>
      </c>
      <c r="D37" s="372"/>
      <c r="E37" s="79" t="str">
        <f ca="1">IF(C37&gt;B17,"Caution! &gt; Breakeven price!","")</f>
        <v/>
      </c>
      <c r="F37" s="6"/>
      <c r="G37" s="368" t="s">
        <v>314</v>
      </c>
      <c r="H37" s="368"/>
      <c r="I37" s="369">
        <f ca="1">Val_Models!C46</f>
        <v>2.2308191829282675</v>
      </c>
      <c r="J37" s="370"/>
    </row>
    <row r="38" spans="2:11" ht="15.75" customHeight="1">
      <c r="B38" s="87" t="s">
        <v>280</v>
      </c>
      <c r="C38" s="371">
        <f>E34</f>
        <v>1.605</v>
      </c>
      <c r="D38" s="372"/>
      <c r="E38" s="6"/>
      <c r="F38" s="6"/>
      <c r="G38" s="368" t="s">
        <v>279</v>
      </c>
      <c r="H38" s="368"/>
      <c r="I38" s="369">
        <f ca="1">Val_Models!C47</f>
        <v>1.6544638136047172</v>
      </c>
      <c r="J38" s="370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0.30457262159547804</v>
      </c>
      <c r="F47" s="171">
        <f ca="1">I37/C38-1</f>
        <v>0.38991849403630385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-3.2477301985545548E-2</v>
      </c>
      <c r="F48" s="171">
        <f ca="1">Val_Models!C47/C38-1</f>
        <v>3.0818575454652386E-2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0.68284829780111023</v>
      </c>
      <c r="F50" s="171">
        <f ca="1">IF(F47&lt;=0,0,AVERAGE(F41:F44,0.5*(1+F47+F48-C16)))</f>
        <v>0.69771247278921267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9.3780148896306752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1.6416446014772834</v>
      </c>
      <c r="F52" s="232">
        <f ca="1">MAX(C16*2.5/F47,1)+IF(F47&lt;C16,100,0)+IF(D18&lt;0,100,0)+IF(J20=1,2/(1+F47+F48-C16),0)</f>
        <v>1.2823192735080857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0.39535332921150135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389</v>
      </c>
    </row>
    <row r="65" spans="2:2" ht="15.75" customHeight="1">
      <c r="B65" s="3" t="s">
        <v>391</v>
      </c>
    </row>
    <row r="66" spans="2:2" ht="15.75" customHeight="1">
      <c r="B66" s="3" t="s">
        <v>390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4" priority="12" operator="lessThan">
      <formula>$B$18</formula>
    </cfRule>
  </conditionalFormatting>
  <conditionalFormatting sqref="B18">
    <cfRule type="cellIs" dxfId="23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2" priority="25" operator="lessThan">
      <formula>0</formula>
    </cfRule>
  </conditionalFormatting>
  <conditionalFormatting sqref="E14">
    <cfRule type="cellIs" dxfId="21" priority="17" operator="greaterThan">
      <formula>$B$16</formula>
    </cfRule>
  </conditionalFormatting>
  <conditionalFormatting sqref="E51:F51">
    <cfRule type="cellIs" dxfId="20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9" priority="13">
      <formula>LEN(TRIM(E28))=0</formula>
    </cfRule>
  </conditionalFormatting>
  <conditionalFormatting sqref="F16">
    <cfRule type="cellIs" dxfId="18" priority="20" operator="greaterThan">
      <formula>$B$16</formula>
    </cfRule>
  </conditionalFormatting>
  <conditionalFormatting sqref="G16">
    <cfRule type="cellIs" dxfId="17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10" zoomScaleNormal="100" workbookViewId="0">
      <selection activeCell="C35" sqref="C35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369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344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337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363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336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339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353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365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371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370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404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6" priority="2">
      <formula>$C$58="No"</formula>
    </cfRule>
  </conditionalFormatting>
  <conditionalFormatting sqref="C7:M38 D45:M49 D51:M55">
    <cfRule type="containsBlanks" dxfId="15" priority="5">
      <formula>LEN(TRIM(C7))=0</formula>
    </cfRule>
  </conditionalFormatting>
  <conditionalFormatting sqref="C40:M43">
    <cfRule type="containsBlanks" dxfId="14" priority="7">
      <formula>LEN(TRIM(C40))=0</formula>
    </cfRule>
  </conditionalFormatting>
  <conditionalFormatting sqref="D17:M18">
    <cfRule type="containsBlanks" dxfId="13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abSelected="1" zoomScaleNormal="100" workbookViewId="0">
      <selection activeCell="D40" sqref="D4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2.4130694878134356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1.841796395294935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395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3.9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342</v>
      </c>
      <c r="I14" s="179">
        <v>0</v>
      </c>
      <c r="J14" s="6"/>
      <c r="K14" s="47"/>
    </row>
    <row r="15" spans="1:11" ht="13.9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3.9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341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382</v>
      </c>
      <c r="G23" s="6"/>
      <c r="H23" s="6"/>
      <c r="I23" s="6"/>
    </row>
    <row r="24" spans="2:10" ht="15" customHeight="1">
      <c r="B24" s="41" t="s">
        <v>372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380</v>
      </c>
      <c r="I24" s="312">
        <f>I11+I12+I13</f>
        <v>7102</v>
      </c>
    </row>
    <row r="25" spans="2:10" ht="15" customHeight="1">
      <c r="B25" s="41" t="s">
        <v>376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383</v>
      </c>
      <c r="I25" s="184">
        <f>E28/I28</f>
        <v>5.3394300150875385</v>
      </c>
    </row>
    <row r="26" spans="2:10" ht="15" customHeight="1">
      <c r="B26" s="41" t="s">
        <v>374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3.9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373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381</v>
      </c>
      <c r="I44" s="312">
        <f>I30+I31+I32</f>
        <v>8842</v>
      </c>
    </row>
    <row r="45" spans="2:10" ht="15" customHeight="1">
      <c r="B45" s="41" t="s">
        <v>377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378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379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369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6">
        <f>D56+D57+D58</f>
        <v>15944</v>
      </c>
      <c r="E55" s="377"/>
      <c r="F55" s="5"/>
      <c r="G55" s="5"/>
      <c r="H55" s="6"/>
      <c r="I55" s="6"/>
    </row>
    <row r="56" spans="2:10" ht="14.25" thickTop="1">
      <c r="B56" s="37" t="s">
        <v>197</v>
      </c>
      <c r="C56" s="6"/>
      <c r="D56" s="347">
        <f>SUM(I11:I13)+SUM(I30:I32)</f>
        <v>15944</v>
      </c>
      <c r="E56" s="378"/>
      <c r="F56" s="5"/>
      <c r="G56" s="5"/>
      <c r="H56" s="6" t="s">
        <v>262</v>
      </c>
      <c r="I56" s="149">
        <f>D56/I3</f>
        <v>5.3810490818230637E-3</v>
      </c>
    </row>
    <row r="57" spans="2:10" ht="13.9">
      <c r="B57" s="37" t="s">
        <v>112</v>
      </c>
      <c r="C57" s="6"/>
      <c r="D57" s="383">
        <v>0</v>
      </c>
      <c r="E57" s="31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1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3.9">
      <c r="B63" s="32" t="s">
        <v>116</v>
      </c>
      <c r="C63" s="6"/>
      <c r="D63" s="347">
        <f>((Dashboard!I6*Data!C4)+D55+E53-C61-C62)</f>
        <v>-588437.21888000006</v>
      </c>
      <c r="E63" s="347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-0.10897632357366624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G14" sqref="G14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407</v>
      </c>
      <c r="C4" s="205"/>
      <c r="D4" s="205"/>
      <c r="E4" s="205">
        <v>1608309</v>
      </c>
      <c r="F4" s="205">
        <v>1296901</v>
      </c>
      <c r="G4" s="205"/>
      <c r="H4" s="206"/>
      <c r="I4" s="206"/>
      <c r="J4" s="6"/>
      <c r="K4" s="43" t="s">
        <v>388</v>
      </c>
      <c r="L4" s="36"/>
    </row>
    <row r="5" spans="1:12" ht="15.75" customHeight="1">
      <c r="B5" s="118" t="s">
        <v>408</v>
      </c>
      <c r="C5" s="196"/>
      <c r="D5" s="196"/>
      <c r="E5" s="196">
        <v>100817</v>
      </c>
      <c r="F5" s="196">
        <v>64283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409</v>
      </c>
      <c r="C6" s="196"/>
      <c r="D6" s="196"/>
      <c r="E6" s="196">
        <v>52662</v>
      </c>
      <c r="F6" s="196">
        <v>76943</v>
      </c>
      <c r="G6" s="196"/>
      <c r="H6" s="197"/>
      <c r="I6" s="197"/>
      <c r="J6" s="6"/>
      <c r="K6" s="43"/>
      <c r="L6" s="36"/>
    </row>
    <row r="7" spans="1:12" ht="15.75" customHeight="1">
      <c r="B7" s="118" t="s">
        <v>345</v>
      </c>
      <c r="C7" s="196"/>
      <c r="D7" s="196"/>
      <c r="E7" s="196">
        <v>7369</v>
      </c>
      <c r="F7" s="196">
        <v>4067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1132761/0.71</f>
        <v>1595438.0281690143</v>
      </c>
      <c r="H8" s="200"/>
      <c r="I8" s="201"/>
      <c r="J8" s="6"/>
      <c r="K8" s="43"/>
      <c r="L8" s="36"/>
    </row>
    <row r="9" spans="1:12" ht="15.75" customHeight="1">
      <c r="B9" s="14" t="s">
        <v>347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0.1062575687938061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0.43675554565230323</v>
      </c>
      <c r="H11" s="208"/>
      <c r="I11" s="208"/>
      <c r="J11" s="6"/>
      <c r="K11" s="43"/>
    </row>
    <row r="12" spans="1:12" ht="15.75" customHeight="1">
      <c r="B12" s="5" t="s">
        <v>346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696816.4065473926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0.42153394127681648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1.5221604375486787E-2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>
        <f>IF(ABS(F17+G17)=ABS(F17)+ABS(G17),IF(G17&lt;0,-1,1)*(G17-F17)/F17,"Turn")</f>
        <v>29.701803375974059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24285.12647039548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1.141620328161509E-2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18213.84485279661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13117.688811267621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14" t="s">
        <v>335</v>
      </c>
      <c r="C22" s="288"/>
      <c r="D22" s="288"/>
      <c r="E22" s="288"/>
      <c r="F22" s="95">
        <f>Data!C33</f>
        <v>24700</v>
      </c>
      <c r="G22" s="161">
        <v>37925</v>
      </c>
      <c r="H22" s="161"/>
      <c r="I22" s="161" t="str">
        <f>IF(I15="","",IF(ABS(H23+I23)=ABS(H23)+ABS(I23),IF(I23&lt;0,-1,1)*(I23-H23)/H23,"Turn"))</f>
        <v/>
      </c>
    </row>
    <row r="23" spans="2:12" ht="15.75" customHeight="1">
      <c r="B23" s="85" t="s">
        <v>338</v>
      </c>
      <c r="C23" s="289"/>
      <c r="D23" s="289"/>
      <c r="E23" s="289"/>
      <c r="F23" s="214">
        <f>F21+F22</f>
        <v>24700</v>
      </c>
      <c r="G23" s="214">
        <f>IF(G15="","",G21+G22)</f>
        <v>51042.688811267624</v>
      </c>
      <c r="H23" s="214" t="str">
        <f>IF(H15="","",H21+H22)</f>
        <v/>
      </c>
      <c r="I23" s="214" t="str">
        <f>IF(I15="","",I21+I22)</f>
        <v/>
      </c>
    </row>
    <row r="24" spans="2:12" ht="15.75" customHeight="1">
      <c r="B24" s="14" t="s">
        <v>331</v>
      </c>
      <c r="C24" s="285"/>
      <c r="D24" s="285"/>
      <c r="E24" s="285"/>
      <c r="F24" s="171">
        <f>AVERAGE(Data!C54:E54)</f>
        <v>0.39057414113288563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-24106.75</v>
      </c>
      <c r="G25" s="214">
        <f>G20-G23</f>
        <v>-32828.843958471014</v>
      </c>
      <c r="H25" s="214" t="str">
        <f>IF(H20="","",H20-H23)</f>
        <v/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2" priority="20">
      <formula>LEN(TRIM(G18))=0</formula>
    </cfRule>
  </conditionalFormatting>
  <conditionalFormatting sqref="G24">
    <cfRule type="containsBlanks" dxfId="11" priority="9">
      <formula>LEN(TRIM(G24))=0</formula>
    </cfRule>
  </conditionalFormatting>
  <conditionalFormatting sqref="H9">
    <cfRule type="containsBlanks" dxfId="10" priority="1">
      <formula>LEN(TRIM(H9))=0</formula>
    </cfRule>
  </conditionalFormatting>
  <conditionalFormatting sqref="H9:H13">
    <cfRule type="containsBlanks" priority="2">
      <formula>LEN(TRIM(H9))=0</formula>
    </cfRule>
  </conditionalFormatting>
  <conditionalFormatting sqref="H10:H23">
    <cfRule type="containsBlanks" dxfId="9" priority="28">
      <formula>LEN(TRIM(H10))=0</formula>
    </cfRule>
  </conditionalFormatting>
  <conditionalFormatting sqref="H15:H17">
    <cfRule type="containsBlanks" priority="29">
      <formula>LEN(TRIM(H15))=0</formula>
    </cfRule>
  </conditionalFormatting>
  <conditionalFormatting sqref="H20:I20">
    <cfRule type="containsBlanks" dxfId="8" priority="22">
      <formula>LEN(TRIM(H20))=0</formula>
    </cfRule>
  </conditionalFormatting>
  <conditionalFormatting sqref="H21:I23 H25:I25">
    <cfRule type="containsBlanks" dxfId="7" priority="10">
      <formula>LEN(TRIM(H21))=0</formula>
    </cfRule>
    <cfRule type="containsBlanks" priority="11">
      <formula>LEN(TRIM(H21))=0</formula>
    </cfRule>
  </conditionalFormatting>
  <conditionalFormatting sqref="I9:I17">
    <cfRule type="containsBlanks" priority="25">
      <formula>LEN(TRIM(I9))=0</formula>
    </cfRule>
  </conditionalFormatting>
  <conditionalFormatting sqref="I9:I23">
    <cfRule type="containsBlanks" dxfId="6" priority="24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348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358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352</v>
      </c>
      <c r="J76" s="296"/>
      <c r="K76" s="296"/>
      <c r="L76" s="296"/>
      <c r="M76" s="296"/>
    </row>
    <row r="78" spans="2:13" ht="13.15">
      <c r="B78" s="297" t="s">
        <v>357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355</v>
      </c>
      <c r="J80" s="295"/>
      <c r="K80" s="295"/>
      <c r="L80" s="295"/>
      <c r="M80" s="295"/>
    </row>
    <row r="81" spans="2:13">
      <c r="B81" s="292" t="s">
        <v>356</v>
      </c>
      <c r="J81" s="295"/>
      <c r="K81" s="295"/>
      <c r="L81" s="295"/>
      <c r="M81" s="295"/>
    </row>
    <row r="82" spans="2:13">
      <c r="B82" s="292" t="s">
        <v>354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359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360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361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362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16" sqref="C16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18213.84485279661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29.701803375974059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41.635061104087654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24700</v>
      </c>
      <c r="D7" s="313">
        <f>Projections!G23</f>
        <v>51042.688811267624</v>
      </c>
      <c r="E7" s="247" t="str">
        <f>Projections!H23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-24106.75</v>
      </c>
      <c r="D8" s="210">
        <f>Projections!G20-D7</f>
        <v>-32828.843958471014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-1.8080107049383769E-2</v>
      </c>
      <c r="D9" s="248">
        <f>D8/(Common_Shares/Data!$C$4)</f>
        <v>-2.4621693636706382E-2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-2.4621693636706382E-2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IF(F10="",IF(E10="",1,D11),E11)*(1+G10)*(1+G10)</f>
        <v>1.1664000000000001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C15/(Dashboard!I5/Data!C4)*Exchange_Rate</f>
        <v>1.9388930114785279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C16/(Dashboard!I5/Data!C4)*Exchange_Rate</f>
        <v>0.14690678102458526</v>
      </c>
      <c r="E16" s="52" t="s">
        <v>274</v>
      </c>
      <c r="G16" s="264">
        <f>(G15+MIN(D4,0))*Data!C$4/Dashboard!I5*Exchange_Rate</f>
        <v>2.0674374425190156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C17/(Dashboard!I5/Data!C4)*Exchange_Rate</f>
        <v>-1.2984845351773739E-2</v>
      </c>
      <c r="E17" s="339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C18/(Dashboard!I5/Data!C4)*Exchange_Rate</f>
        <v>-5.3775046323232562E-3</v>
      </c>
      <c r="E18" s="339"/>
      <c r="F18" s="89">
        <f>D15+(MIN(D4,0)*Data!C$4/Dashboard!I5)</f>
        <v>1.9388930114785279</v>
      </c>
      <c r="G18" s="88">
        <f>SUM(D16:D18)</f>
        <v>0.12854443104048827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-2.4621693636706382E-2</v>
      </c>
      <c r="F22" s="239">
        <f>SUM(D12:F12)+E22+$G$16</f>
        <v>2.0428157488823091</v>
      </c>
      <c r="G22" s="271">
        <f>F22*Exchange_Rate</f>
        <v>2.2182289030114952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-2.4621693636706382E-2</v>
      </c>
      <c r="F23" s="98">
        <f>SUM(D12:F12)+E23+$G$16</f>
        <v>2.0428157488823091</v>
      </c>
      <c r="G23" s="272">
        <f>F23*Exchange_Rate</f>
        <v>2.2182289030114952</v>
      </c>
      <c r="I23" s="43"/>
    </row>
    <row r="24" spans="1:9" ht="15.5" customHeight="1">
      <c r="C24" s="6"/>
      <c r="D24" s="6"/>
      <c r="E24" s="388" t="s">
        <v>330</v>
      </c>
      <c r="F24" s="389"/>
      <c r="G24" s="143">
        <f>MIN(G22,G23)+ABS(G22-G23)*Qualitative_Analysis!$E$64</f>
        <v>2.2182289030114952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-24106.75</v>
      </c>
      <c r="D28" s="51">
        <f>D8</f>
        <v>-32828.843958471014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0.08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956.64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-24957.077400999999</v>
      </c>
      <c r="D33" s="210">
        <f>D28-D32</f>
        <v>-33785.483958471013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-1.8717854171542678E-2</v>
      </c>
      <c r="D34" s="245">
        <f>D33/(Common_Shares/Data!$C$4)</f>
        <v>-2.5339175404581457E-2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-2.5339175404581457E-2</v>
      </c>
      <c r="H34" s="6"/>
      <c r="I34" s="43"/>
    </row>
    <row r="35" spans="1:9" ht="15.75" customHeight="1">
      <c r="B35" s="141" t="s">
        <v>304</v>
      </c>
      <c r="C35" s="273">
        <f>Dashboard!C31</f>
        <v>1.71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0.1368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-0.16213917540458145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IF(F36="",IF(E36="",1,D38),E38)*(1+G35-C37)</f>
        <v>0.88562098662594302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-0.18307964451283229</v>
      </c>
      <c r="I39" s="43"/>
    </row>
    <row r="40" spans="1:9" ht="15.75" customHeight="1">
      <c r="B40" s="20" t="s">
        <v>328</v>
      </c>
      <c r="C40" s="6"/>
      <c r="D40" s="6"/>
      <c r="E40" s="390" t="s">
        <v>319</v>
      </c>
      <c r="F40" s="368"/>
      <c r="G40" s="280">
        <f>Asset_Model!D7</f>
        <v>1.841796395294935</v>
      </c>
    </row>
    <row r="41" spans="1:9" ht="15.75" customHeight="1">
      <c r="C41" s="6"/>
      <c r="D41" s="6"/>
      <c r="E41" s="388" t="s">
        <v>305</v>
      </c>
      <c r="F41" s="388"/>
      <c r="G41" s="281">
        <f ca="1">MAX((G40+SUM(D39:G39))*Exchange_Rate,0)</f>
        <v>1.8011479696626103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2.0680797670058966</v>
      </c>
      <c r="D44" s="262" t="str">
        <f>Dashboard!J4</f>
        <v>HKD</v>
      </c>
      <c r="E44" s="263">
        <f ca="1">(C44-G16)/C9</f>
        <v>-3.5526586492354011E-2</v>
      </c>
      <c r="F44" s="263">
        <f ca="1">C44/(Data!C29*Exchange_Rate*Data!C4/Common_Shares)</f>
        <v>0.90056300893543562</v>
      </c>
      <c r="G44" s="263">
        <f ca="1">C44/(Data!C7*Data!C4*Exchange_Rate/Common_Shares)</f>
        <v>1.7607759813907651</v>
      </c>
      <c r="I44" s="43"/>
    </row>
    <row r="45" spans="1:9" ht="15.75" customHeight="1">
      <c r="B45" s="6" t="s">
        <v>312</v>
      </c>
      <c r="C45" s="255">
        <f>Asset_Model!I3*Exchange_Rate*Data!C4/Common_Shares*1.01</f>
        <v>2.4372001826915701</v>
      </c>
      <c r="D45" s="256" t="str">
        <f>D44</f>
        <v>HKD</v>
      </c>
      <c r="E45" s="223">
        <f>(C45-G16)/C9</f>
        <v>-20.451357901952093</v>
      </c>
      <c r="F45" s="223">
        <f>C45/(Asset_Model!I3*Exchange_Rate*Data!C4/Common_Shares)</f>
        <v>1.01</v>
      </c>
      <c r="G45" s="223">
        <f>C45/(Data!C7*Data!C4*Exchange_Rate/Common_Shares)</f>
        <v>2.0750474000030508</v>
      </c>
      <c r="I45" s="43" t="s">
        <v>403</v>
      </c>
    </row>
    <row r="46" spans="1:9" ht="15.75" customHeight="1">
      <c r="B46" s="257" t="s">
        <v>313</v>
      </c>
      <c r="C46" s="258">
        <f ca="1">MIN(C45,C44)+ABS(C45-C44)*Qualitative_Analysis!E64</f>
        <v>2.2308191829282675</v>
      </c>
      <c r="D46" s="256" t="str">
        <f>D45</f>
        <v>HKD</v>
      </c>
      <c r="E46" s="223">
        <f ca="1">(C46-G16)/C9</f>
        <v>-9.0365471821042398</v>
      </c>
      <c r="F46" s="223">
        <f ca="1">C46/(Asset_Model!I3*Exchange_Rate*Data!C4/Common_Shares)</f>
        <v>0.92447366070244785</v>
      </c>
      <c r="G46" s="223">
        <f ca="1">C46/(Data!C7*Data!C4*Exchange_Rate/Common_Shares)</f>
        <v>1.8993333326850661</v>
      </c>
    </row>
    <row r="47" spans="1:9" ht="15.75" customHeight="1">
      <c r="B47" s="84" t="s">
        <v>279</v>
      </c>
      <c r="C47" s="259">
        <f ca="1">MAX(G41,C44)/(1+Dashboard!I14)</f>
        <v>1.6544638136047172</v>
      </c>
      <c r="D47" s="260" t="str">
        <f>D45</f>
        <v>HKD</v>
      </c>
      <c r="E47" s="224">
        <f ca="1">(C47-G16)/C9</f>
        <v>22.841326535639841</v>
      </c>
      <c r="F47" s="224">
        <f ca="1">C47/(Asset_Model!I3*Exchange_Rate*Data!C4/Common_Shares)</f>
        <v>0.68562626230207868</v>
      </c>
      <c r="G47" s="224">
        <f ca="1">C47/(Data!C7*Data!C4*Exchange_Rate/Common_Shares)</f>
        <v>1.408620785112612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402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2023-08-29T12:42:40Z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