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ECDB778F-8B76-4952-8E42-42BF2DB62EC3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C38" i="1" l="1"/>
  <c r="C37" i="1"/>
  <c r="C17" i="7"/>
  <c r="G12" i="7"/>
  <c r="G7" i="7"/>
  <c r="G13" i="7" s="1"/>
  <c r="D6" i="4"/>
  <c r="E13" i="7"/>
  <c r="E12" i="7"/>
  <c r="C13" i="7"/>
  <c r="E6" i="7"/>
  <c r="E4" i="7"/>
  <c r="E5" i="7"/>
  <c r="C7" i="7"/>
  <c r="I11" i="3"/>
  <c r="C36" i="3"/>
  <c r="C17" i="3"/>
  <c r="C9" i="7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D31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16" i="2" s="1"/>
  <c r="K45" i="2" s="1"/>
  <c r="M12" i="2"/>
  <c r="M10" i="2"/>
  <c r="L10" i="2"/>
  <c r="K10" i="2"/>
  <c r="H10" i="2"/>
  <c r="G10" i="2"/>
  <c r="D10" i="2"/>
  <c r="L14" i="2"/>
  <c r="L13" i="2" s="1"/>
  <c r="J14" i="2"/>
  <c r="J16" i="2" s="1"/>
  <c r="J45" i="2" s="1"/>
  <c r="I10" i="2"/>
  <c r="H14" i="2"/>
  <c r="H16" i="2" s="1"/>
  <c r="H45" i="2" s="1"/>
  <c r="G14" i="2"/>
  <c r="F1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G44" i="2"/>
  <c r="G15" i="2"/>
  <c r="C46" i="2"/>
  <c r="G12" i="2"/>
  <c r="D14" i="2"/>
  <c r="D16" i="2" s="1"/>
  <c r="H12" i="2"/>
  <c r="L12" i="2"/>
  <c r="F10" i="2"/>
  <c r="J10" i="2"/>
  <c r="J12" i="2"/>
  <c r="E14" i="2"/>
  <c r="E13" i="2" s="1"/>
  <c r="I14" i="2"/>
  <c r="I44" i="2" s="1"/>
  <c r="K12" i="2"/>
  <c r="C33" i="2"/>
  <c r="C34" i="2" s="1"/>
  <c r="C22" i="4"/>
  <c r="I15" i="2"/>
  <c r="H17" i="2"/>
  <c r="K17" i="2"/>
  <c r="J17" i="2"/>
  <c r="G17" i="2"/>
  <c r="I12" i="2"/>
  <c r="L17" i="2"/>
  <c r="I17" i="2"/>
  <c r="M44" i="2" l="1"/>
  <c r="M13" i="2"/>
  <c r="G13" i="2"/>
  <c r="M16" i="2"/>
  <c r="M45" i="2" s="1"/>
  <c r="K13" i="2"/>
  <c r="L16" i="2"/>
  <c r="L45" i="2" s="1"/>
  <c r="L44" i="2"/>
  <c r="I13" i="2"/>
  <c r="I16" i="2"/>
  <c r="I45" i="2" s="1"/>
  <c r="K15" i="2"/>
  <c r="K44" i="2"/>
  <c r="J44" i="2"/>
  <c r="H13" i="2"/>
  <c r="H15" i="2"/>
  <c r="H44" i="2"/>
  <c r="J13" i="2"/>
  <c r="J15" i="2"/>
  <c r="C25" i="3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E30" i="5" s="1"/>
  <c r="D5" i="5"/>
  <c r="E5" i="5" s="1"/>
  <c r="D32" i="4"/>
  <c r="D10" i="4"/>
  <c r="G10" i="4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C10" i="7"/>
  <c r="E10" i="7" s="1"/>
  <c r="G10" i="7" s="1"/>
  <c r="G9" i="7" s="1"/>
  <c r="G11" i="7" s="1"/>
  <c r="G16" i="7" s="1"/>
  <c r="G14" i="7" s="1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E11" i="7" s="1"/>
  <c r="E16" i="7" s="1"/>
  <c r="G15" i="7" s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D3" i="4"/>
  <c r="G3" i="7"/>
  <c r="E3" i="4" s="1"/>
  <c r="G4" i="4" s="1"/>
  <c r="B21" i="4" s="1"/>
  <c r="G2" i="4" s="1"/>
  <c r="E8" i="7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E18" i="5"/>
  <c r="D64" i="5"/>
  <c r="E7" i="5" s="1"/>
  <c r="D7" i="5" s="1"/>
  <c r="D8" i="5" s="1"/>
  <c r="E8" i="5" s="1"/>
  <c r="F43" i="1"/>
  <c r="D6" i="3" l="1"/>
  <c r="D7" i="3" s="1"/>
  <c r="D7" i="4"/>
  <c r="D8" i="4" s="1"/>
  <c r="D9" i="4" s="1"/>
  <c r="D5" i="4"/>
  <c r="G16" i="4"/>
  <c r="F18" i="4"/>
  <c r="D11" i="4"/>
  <c r="E8" i="4"/>
  <c r="G9" i="4" s="1"/>
  <c r="E5" i="4"/>
  <c r="E10" i="4"/>
  <c r="F41" i="1"/>
  <c r="E6" i="3" l="1"/>
  <c r="D12" i="4"/>
  <c r="F16" i="1"/>
  <c r="H16" i="1" s="1"/>
  <c r="E17" i="4"/>
  <c r="E11" i="4"/>
  <c r="G11" i="4" s="1"/>
  <c r="C30" i="4" s="1"/>
  <c r="E9" i="4"/>
  <c r="F30" i="4" l="1"/>
  <c r="H18" i="1"/>
  <c r="E12" i="4"/>
  <c r="E22" i="4"/>
  <c r="F22" i="4" s="1"/>
  <c r="E23" i="4"/>
  <c r="F23" i="4" s="1"/>
  <c r="G23" i="4" s="1"/>
  <c r="E30" i="4" l="1"/>
  <c r="G22" i="4"/>
  <c r="G24" i="4" s="1"/>
  <c r="C27" i="4" s="1"/>
  <c r="C32" i="4" s="1"/>
  <c r="C31" i="4" l="1"/>
  <c r="I37" i="1" s="1"/>
  <c r="E14" i="1"/>
  <c r="E27" i="4"/>
  <c r="F27" i="4"/>
  <c r="D16" i="1" l="1"/>
  <c r="D18" i="1"/>
  <c r="E47" i="1"/>
  <c r="E52" i="1" s="1"/>
  <c r="E31" i="4"/>
  <c r="F31" i="4"/>
  <c r="F47" i="1"/>
  <c r="F50" i="1" s="1"/>
  <c r="F32" i="4"/>
  <c r="E32" i="4"/>
  <c r="I38" i="1"/>
  <c r="B17" i="1" s="1"/>
  <c r="J17" i="1" l="1"/>
  <c r="D17" i="1"/>
  <c r="H17" i="1"/>
  <c r="F48" i="1"/>
  <c r="F51" i="1" s="1"/>
  <c r="E48" i="1"/>
  <c r="E51" i="1" s="1"/>
  <c r="E50" i="1"/>
  <c r="F52" i="1"/>
  <c r="E53" i="1" l="1"/>
  <c r="F53" i="1"/>
</calcChain>
</file>

<file path=xl/sharedStrings.xml><?xml version="1.0" encoding="utf-8"?>
<sst xmlns="http://schemas.openxmlformats.org/spreadsheetml/2006/main" count="421" uniqueCount="351">
  <si>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</si>
  <si>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</si>
  <si>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</si>
  <si>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</si>
  <si>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</si>
  <si>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</si>
  <si>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</si>
  <si>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</si>
  <si>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</si>
  <si>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</si>
  <si>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</si>
  <si>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</si>
  <si>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</si>
  <si>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</si>
  <si>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</si>
  <si>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</si>
  <si>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</si>
  <si>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</si>
  <si>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</si>
  <si>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</si>
  <si>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</si>
  <si>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</si>
  <si>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</si>
  <si>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</si>
  <si>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</si>
  <si>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</si>
  <si>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</si>
  <si>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</si>
  <si>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</si>
  <si>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</si>
  <si>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</si>
  <si>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</si>
  <si>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</si>
  <si>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</si>
  <si>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</si>
  <si>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</si>
  <si>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</si>
  <si>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</si>
  <si>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</si>
  <si>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</si>
  <si>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</si>
  <si>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</si>
  <si>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</si>
  <si>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</si>
  <si>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</si>
  <si>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</si>
  <si>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</si>
  <si>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</si>
  <si>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</si>
  <si>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</si>
  <si>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</si>
  <si>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</si>
  <si>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</si>
  <si>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</si>
  <si>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</si>
  <si>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</si>
  <si>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</si>
  <si>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</si>
  <si>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</si>
  <si>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</si>
  <si>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</si>
  <si>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</si>
  <si>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</si>
  <si>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</si>
  <si>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</si>
  <si>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</si>
  <si>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</si>
  <si>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</si>
  <si>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</si>
  <si>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</si>
  <si>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</si>
  <si>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</si>
  <si>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</si>
  <si>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</si>
  <si>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</si>
  <si>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</si>
  <si>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</si>
  <si>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</si>
  <si>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</si>
  <si>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</si>
  <si>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</si>
  <si>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</si>
  <si>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</si>
  <si>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</si>
  <si>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</si>
  <si>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</si>
  <si>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</si>
  <si>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</si>
  <si>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</si>
  <si>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</si>
  <si>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</si>
  <si>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</si>
  <si>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</si>
  <si>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</si>
  <si>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</si>
  <si>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</si>
  <si>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</si>
  <si>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</si>
  <si>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</si>
  <si>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</si>
  <si>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</si>
  <si>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</si>
  <si>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</si>
  <si>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</si>
  <si>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</si>
  <si>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</si>
  <si>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</si>
  <si>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</si>
  <si>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</si>
  <si>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</si>
  <si>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</si>
  <si>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</si>
  <si>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</si>
  <si>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</si>
  <si>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</si>
  <si>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</si>
  <si>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</si>
  <si>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</si>
  <si>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</si>
  <si>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</si>
  <si>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</si>
  <si>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</si>
  <si>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</si>
  <si>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</si>
  <si>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</si>
  <si>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</si>
  <si>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</si>
  <si>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</si>
  <si>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</si>
  <si>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</si>
  <si>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</si>
  <si>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</si>
  <si>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</si>
  <si>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</si>
  <si>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</si>
  <si>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</si>
  <si>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</si>
  <si>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</si>
  <si>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</si>
  <si>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</si>
  <si>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</si>
  <si>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</si>
  <si>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</si>
  <si>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</si>
  <si>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</si>
  <si>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</si>
  <si>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</si>
  <si>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</si>
  <si>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</si>
  <si>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</si>
  <si>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</si>
  <si>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</si>
  <si>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</si>
  <si>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</si>
  <si>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</si>
  <si>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</si>
  <si>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</si>
  <si>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</si>
  <si>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</si>
  <si>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</si>
  <si>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</si>
  <si>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</si>
  <si>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</si>
  <si>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</si>
  <si>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</si>
  <si>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</si>
  <si>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</si>
  <si>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</si>
  <si>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</si>
  <si>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</si>
  <si>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</si>
  <si>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</si>
  <si>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</si>
  <si>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</si>
  <si>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</si>
  <si>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</si>
  <si>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</si>
  <si>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</si>
  <si>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</si>
  <si>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</si>
  <si>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</si>
  <si>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</si>
  <si>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</si>
  <si>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</si>
  <si>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</si>
  <si>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</si>
  <si>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</si>
  <si>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</si>
  <si>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</si>
  <si>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</si>
  <si>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</si>
  <si>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</si>
  <si>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</si>
  <si>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</si>
  <si>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</si>
  <si>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</si>
  <si>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</si>
  <si>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</si>
  <si>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</si>
  <si>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</si>
  <si>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</si>
  <si>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</si>
  <si>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</si>
  <si>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</si>
  <si>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</si>
  <si>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</si>
  <si>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</si>
  <si>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</si>
  <si>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</si>
  <si>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</si>
  <si>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</si>
  <si>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</si>
  <si>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</si>
  <si>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</si>
  <si>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</si>
  <si>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</si>
  <si>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</si>
  <si>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</si>
  <si>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</si>
  <si>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</si>
  <si>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</si>
  <si>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</si>
  <si>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</si>
  <si>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</si>
  <si>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</si>
  <si>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</si>
  <si>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</si>
  <si>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</si>
  <si>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</si>
  <si>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</si>
  <si>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</si>
  <si>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</si>
  <si>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</si>
  <si>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</si>
  <si>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</si>
  <si>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</si>
  <si>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</si>
  <si>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</si>
  <si>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</si>
  <si>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</si>
  <si>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</si>
  <si>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</si>
  <si>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</si>
  <si>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</si>
  <si>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</si>
  <si>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</si>
  <si>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</si>
  <si>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</si>
  <si>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</si>
  <si>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</si>
  <si>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</si>
  <si>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</si>
  <si>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</si>
  <si>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</si>
  <si>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</si>
  <si>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</si>
  <si>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</si>
  <si>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</si>
  <si>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</si>
  <si>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</si>
  <si>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</si>
  <si>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</si>
  <si>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</si>
  <si>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</si>
  <si>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</si>
  <si>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</si>
  <si>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</si>
  <si>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</si>
  <si>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</si>
  <si>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</si>
  <si>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</si>
  <si>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</si>
  <si>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</si>
  <si>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</si>
  <si>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</si>
  <si>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</si>
  <si>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</si>
  <si>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</si>
  <si>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</si>
  <si>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</si>
  <si>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</si>
  <si>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</si>
  <si>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</si>
  <si>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</si>
  <si>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</si>
  <si>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</si>
  <si>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</si>
  <si>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</si>
  <si>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</si>
  <si>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</si>
  <si>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</si>
  <si>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</si>
  <si>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</si>
  <si>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</si>
  <si>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</si>
  <si>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</si>
  <si>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</si>
  <si>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</si>
  <si>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</si>
  <si>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</si>
  <si>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</si>
  <si>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</si>
  <si>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</si>
  <si>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</si>
  <si>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</si>
  <si>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</si>
  <si>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</si>
  <si>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</si>
  <si>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</si>
  <si>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</si>
  <si>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</si>
  <si>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</si>
  <si>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</si>
  <si>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</si>
  <si>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</si>
  <si>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</si>
  <si>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</si>
  <si>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</si>
  <si>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</si>
  <si>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</si>
  <si>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</si>
  <si>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FY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</si>
  <si>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</si>
  <si>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</si>
  <si>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</si>
  <si>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0590.HK</t>
  </si>
  <si>
    <t>LUK FOOK HOLD</t>
  </si>
  <si>
    <t>香港</t>
  </si>
  <si>
    <t>内地</t>
  </si>
  <si>
    <t>澳门及海外</t>
  </si>
  <si>
    <t>HK</t>
  </si>
  <si>
    <t>Stalwarts</t>
  </si>
  <si>
    <t>香港老牌珠宝商店</t>
  </si>
  <si>
    <t>effective tax rate in 2023 is 17.9% and 2022 is 17.3%</t>
  </si>
  <si>
    <t>Materials, 18.6y</t>
  </si>
  <si>
    <t>1. 品牌价值高，珠寶黃金在中國這類產品就十分需要品牌
2. 管理水平较高，并且适应大中华的环境</t>
  </si>
  <si>
    <t>1. 国内生意仍有很大的成长空间，特别在2-3线城市
2. 有做品牌奢侈品的潜力，利润大，但波动也大</t>
  </si>
  <si>
    <t>1. 内地经济不好，影响高利润的Designer首饰
2. 经济不好金价上升都严重负面影响Bottom line</t>
  </si>
  <si>
    <t>1. 与其他同等的珠宝店(如周大福)并无太大区别，竞争激烈
2. 高利润的高端产品受经济影响很大，周期性强</t>
  </si>
  <si>
    <t>What Went Wrong?</t>
  </si>
  <si>
    <t>Can it be Fixed?</t>
  </si>
  <si>
    <t>a) Don't buy a mediocre value stock with low trading volume and mediocre dividend</t>
  </si>
  <si>
    <t>b) It's far better to buy a wonderful company at a fair price than a fair company at a wonderful price, but it takes more efforts on research</t>
  </si>
  <si>
    <t>a) Don't buy a High growth company with unproven products or products you don't trust</t>
  </si>
  <si>
    <t>b) Don't buy into unsustainable PE ratios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</si>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</sst>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0" fontId="24" fillId="0" borderId="0" xfId="0" applyFont="1"/>
    <xf numFmtId="4" fontId="1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C25" sqref="C25:J2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0590.HK : LUK FOOK HOLD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325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326</v>
      </c>
      <c r="D4" s="414"/>
      <c r="E4" s="6"/>
      <c r="G4" s="5" t="s">
        <v>5</v>
      </c>
      <c r="I4" s="32">
        <v>20</v>
      </c>
      <c r="J4" s="33" t="s">
        <v>6</v>
      </c>
      <c r="K4" s="149"/>
    </row>
    <row r="5" spans="1:12" ht="15.75" customHeight="1">
      <c r="B5" s="5" t="s">
        <v>7</v>
      </c>
      <c r="C5" s="415">
        <v>45076</v>
      </c>
      <c r="D5" s="414"/>
      <c r="E5" s="120" t="str">
        <f ca="1">IF(C5+30&gt;=TODAY(),"Patience Premium","")</f>
        <v/>
      </c>
      <c r="G5" s="5" t="s">
        <v>8</v>
      </c>
      <c r="I5" s="383">
        <v>587107850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423">
        <f>I4*I5/1000000</f>
        <v>11742.156999999999</v>
      </c>
      <c r="J6" s="424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9.139593713052351</v>
      </c>
      <c r="J9" s="48">
        <f>IF(I9="NNI","NNI",1/I9)</f>
        <v>0.10941405399365722</v>
      </c>
    </row>
    <row r="10" spans="1:12" ht="15.75" customHeight="1">
      <c r="B10" s="3" t="s">
        <v>255</v>
      </c>
      <c r="C10" s="279" t="s">
        <v>330</v>
      </c>
      <c r="D10" s="279">
        <v>3.6810000000000002E-2</v>
      </c>
      <c r="E10" s="5"/>
      <c r="G10" s="5" t="s">
        <v>14</v>
      </c>
      <c r="I10" s="135">
        <f>I4/(Data!C28*I12*Data!C4/Common_Shares)</f>
        <v>0.96082257816132333</v>
      </c>
      <c r="J10" s="127">
        <f>IF(Asset_Model!D60/'FCFF Model'!C4&lt;0,"Negative EV",Asset_Model!D60/'FCFF Model'!C4)</f>
        <v>9.1302810991672327</v>
      </c>
    </row>
    <row r="11" spans="1:12" ht="15.75" customHeight="1" thickBot="1">
      <c r="B11" s="288" t="s">
        <v>256</v>
      </c>
      <c r="C11" s="381">
        <f ca="1">C12-D10</f>
        <v>2.3189999999999995E-2</v>
      </c>
      <c r="D11" s="382"/>
      <c r="E11" s="13"/>
      <c r="G11" s="5" t="s">
        <v>15</v>
      </c>
      <c r="H11" s="6"/>
      <c r="I11" s="378" t="s">
        <v>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0.06</v>
      </c>
      <c r="D12" s="43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311</v>
      </c>
      <c r="D14" s="239"/>
      <c r="E14" s="190">
        <f ca="1">'FCFF Model'!C27</f>
        <v>20.549024077646671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310</v>
      </c>
      <c r="J15" s="88" t="s">
        <v>20</v>
      </c>
    </row>
    <row r="16" spans="1:12" ht="15.75" customHeight="1">
      <c r="B16" s="128">
        <f>I4</f>
        <v>20</v>
      </c>
      <c r="C16" s="404">
        <v>0.25</v>
      </c>
      <c r="D16" s="156">
        <f ca="1">I37/B16-(1+J27)</f>
        <v>-1.157986206737216E-2</v>
      </c>
      <c r="E16" s="395" t="s">
        <v>23</v>
      </c>
      <c r="F16" s="425">
        <f>('FCFF Model'!G16)*Exchange_Rate</f>
        <v>2.535006966171419</v>
      </c>
      <c r="G16" s="395" t="s">
        <v>24</v>
      </c>
      <c r="H16" s="355">
        <f>B16-$F$16</f>
        <v>17.464993033828581</v>
      </c>
      <c r="I16" s="390">
        <v>0.55000000000000004</v>
      </c>
      <c r="J16" s="158">
        <f>I16/B16</f>
        <v>2.7500000000000004E-2</v>
      </c>
    </row>
    <row r="17" spans="1:10" ht="15.75" customHeight="1">
      <c r="B17" s="269">
        <f ca="1">(I37+I38)/2</f>
        <v>20.103811010384945</v>
      </c>
      <c r="C17" s="405"/>
      <c r="D17" s="268">
        <f ca="1">I37/B17-(1+J27)</f>
        <v>-1.7716563970154198E-2</v>
      </c>
      <c r="E17" s="396"/>
      <c r="F17" s="426"/>
      <c r="G17" s="396"/>
      <c r="H17" s="356">
        <f ca="1">B17-$F$16</f>
        <v>17.568804044213525</v>
      </c>
      <c r="I17" s="391"/>
      <c r="J17" s="159">
        <f ca="1">I16/B17</f>
        <v>2.735799693480449E-2</v>
      </c>
    </row>
    <row r="18" spans="1:10" ht="15.75" customHeight="1">
      <c r="B18" s="323">
        <f>C37</f>
        <v>18.62</v>
      </c>
      <c r="C18" s="406"/>
      <c r="D18" s="157">
        <f ca="1">I37/B18-(1+J27)</f>
        <v>7.6498536984562548E-2</v>
      </c>
      <c r="E18" s="397"/>
      <c r="F18" s="427"/>
      <c r="G18" s="397"/>
      <c r="H18" s="357">
        <f>B18-$F$16</f>
        <v>16.084993033828582</v>
      </c>
      <c r="I18" s="392"/>
      <c r="J18" s="160">
        <f>I16/B18</f>
        <v>2.9538131041890441E-2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331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332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335</v>
      </c>
      <c r="D22" s="364"/>
      <c r="E22" s="364"/>
      <c r="F22" s="364"/>
      <c r="G22" s="380" t="s">
        <v>338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336</v>
      </c>
      <c r="D23" s="394"/>
      <c r="E23" s="394"/>
      <c r="F23" s="394"/>
      <c r="G23" s="393" t="s">
        <v>337</v>
      </c>
      <c r="H23" s="393"/>
      <c r="I23" s="394"/>
      <c r="J23" s="394"/>
    </row>
    <row r="24" spans="1:10" ht="52.5" customHeight="1">
      <c r="A24" s="6"/>
      <c r="B24" s="24" t="s">
        <v>339</v>
      </c>
      <c r="C24" s="454"/>
      <c r="D24" s="455"/>
      <c r="E24" s="455"/>
      <c r="F24" s="455"/>
      <c r="G24" s="455"/>
      <c r="H24" s="455"/>
      <c r="I24" s="455"/>
      <c r="J24" s="456"/>
    </row>
    <row r="25" spans="1:10" ht="52.5" customHeight="1">
      <c r="A25" s="6"/>
      <c r="B25" s="453" t="s">
        <v>340</v>
      </c>
      <c r="C25" s="457"/>
      <c r="D25" s="458"/>
      <c r="E25" s="458"/>
      <c r="F25" s="458"/>
      <c r="G25" s="458"/>
      <c r="H25" s="458"/>
      <c r="I25" s="458"/>
      <c r="J25" s="45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324</v>
      </c>
      <c r="I27" s="30"/>
      <c r="J27" s="359">
        <v>0.2</v>
      </c>
    </row>
    <row r="28" spans="1:10" ht="15.75" customHeight="1">
      <c r="B28" s="23" t="s">
        <v>31</v>
      </c>
      <c r="C28" s="416"/>
      <c r="D28" s="417"/>
      <c r="E28" s="401" t="str">
        <f>IF(C28="","","Action_Planning")</f>
        <v/>
      </c>
      <c r="F28" s="402"/>
      <c r="G28" s="402"/>
      <c r="H28" s="403"/>
      <c r="I28" s="428" t="s">
        <v>32</v>
      </c>
      <c r="J28" s="428"/>
    </row>
    <row r="29" spans="1:10" ht="15.75" customHeight="1">
      <c r="B29" s="23" t="s">
        <v>33</v>
      </c>
      <c r="C29" s="389">
        <f>C33/D27</f>
        <v>0.19748484848484849</v>
      </c>
      <c r="D29" s="375"/>
      <c r="E29" s="388">
        <f>E33/D27</f>
        <v>0.19090909090909092</v>
      </c>
      <c r="F29" s="375"/>
      <c r="G29" s="399">
        <f>G33/D27</f>
        <v>0</v>
      </c>
      <c r="H29" s="400"/>
      <c r="I29" s="398">
        <f>C29+E29+G29</f>
        <v>0.3883939393939394</v>
      </c>
      <c r="J29" s="398"/>
    </row>
    <row r="30" spans="1:10" ht="15.75" customHeight="1">
      <c r="B30" s="23" t="s">
        <v>34</v>
      </c>
      <c r="C30" s="363">
        <v>7000</v>
      </c>
      <c r="D30" s="364"/>
      <c r="E30" s="363">
        <v>7000</v>
      </c>
      <c r="F30" s="364"/>
      <c r="G30" s="383"/>
      <c r="H30" s="384"/>
      <c r="I30" s="377">
        <f>C30+E30+G30</f>
        <v>14000</v>
      </c>
      <c r="J30" s="377"/>
    </row>
    <row r="31" spans="1:10" ht="15.75" customHeight="1">
      <c r="B31" s="23" t="s">
        <v>35</v>
      </c>
      <c r="C31" s="365">
        <v>18.62</v>
      </c>
      <c r="D31" s="364"/>
      <c r="E31" s="365">
        <v>18</v>
      </c>
      <c r="F31" s="364"/>
      <c r="G31" s="386"/>
      <c r="H31" s="387"/>
      <c r="I31" s="385"/>
      <c r="J31" s="385"/>
    </row>
    <row r="32" spans="1:10" ht="15.75" customHeight="1">
      <c r="B32" s="23" t="s">
        <v>36</v>
      </c>
      <c r="C32" s="361">
        <f>C31*$I$5/1000000</f>
        <v>10931.948167</v>
      </c>
      <c r="D32" s="362"/>
      <c r="E32" s="361">
        <f>E31*$I$5/1000000</f>
        <v>10567.9413</v>
      </c>
      <c r="F32" s="362"/>
      <c r="G32" s="407">
        <f>G31*$I$5/1000000</f>
        <v>0</v>
      </c>
      <c r="H32" s="408"/>
      <c r="I32" s="376"/>
      <c r="J32" s="376"/>
    </row>
    <row r="33" spans="2:11" ht="15.75" customHeight="1">
      <c r="B33" s="2" t="s">
        <v>37</v>
      </c>
      <c r="C33" s="370">
        <f>C30*C31</f>
        <v>130340</v>
      </c>
      <c r="D33" s="371"/>
      <c r="E33" s="372">
        <f>E30*E31</f>
        <v>126000</v>
      </c>
      <c r="F33" s="373"/>
      <c r="G33" s="409">
        <f>G30*G31</f>
        <v>0</v>
      </c>
      <c r="H33" s="410"/>
      <c r="I33" s="372">
        <f>C33+E33+G33</f>
        <v>256340</v>
      </c>
      <c r="J33" s="372"/>
    </row>
    <row r="34" spans="2:11" ht="15.75" customHeight="1">
      <c r="B34" s="1" t="s">
        <v>38</v>
      </c>
      <c r="C34" s="366"/>
      <c r="D34" s="367"/>
      <c r="E34" s="374">
        <f>IF(C33=0,"-",(C33+E33)/(C30+E30))</f>
        <v>18.309999999999999</v>
      </c>
      <c r="F34" s="375"/>
      <c r="G34" s="115"/>
      <c r="H34" s="115"/>
      <c r="I34" s="374">
        <f>IF(I33=0,"",I33/I30)</f>
        <v>18.309999999999999</v>
      </c>
      <c r="J34" s="374"/>
    </row>
    <row r="35" spans="2:11" ht="15.75" customHeight="1">
      <c r="B35" s="1" t="s">
        <v>39</v>
      </c>
      <c r="C35" s="368"/>
      <c r="D35" s="369"/>
      <c r="E35" s="361">
        <f>IF(E34="-","-",E34*$I$5/1000000)</f>
        <v>10749.9447335</v>
      </c>
      <c r="F35" s="362"/>
      <c r="G35" s="116"/>
      <c r="H35" s="116"/>
      <c r="I35" s="361">
        <f>IF(I34="","",I34*$I$5/1000000)</f>
        <v>10749.9447335</v>
      </c>
      <c r="J35" s="361"/>
    </row>
    <row r="36" spans="2:11" ht="15.75" customHeight="1"/>
    <row r="37" spans="2:11" ht="15.75" customHeight="1">
      <c r="B37" s="143" t="s">
        <v>286</v>
      </c>
      <c r="C37" s="434">
        <f>IF(C28="",C31,E31)</f>
        <v>18.62</v>
      </c>
      <c r="D37" s="435"/>
      <c r="G37" s="436" t="s">
        <v>315</v>
      </c>
      <c r="H37" s="437"/>
      <c r="I37" s="432">
        <f ca="1">'FCFF Model'!C31</f>
        <v>23.768402758652556</v>
      </c>
      <c r="J37" s="433"/>
    </row>
    <row r="38" spans="2:11" ht="15.75" customHeight="1">
      <c r="B38" s="143" t="s">
        <v>316</v>
      </c>
      <c r="C38" s="434">
        <f>IF(C28="",C31,E34)</f>
        <v>18.62</v>
      </c>
      <c r="D38" s="435"/>
      <c r="G38" s="431" t="s">
        <v>313</v>
      </c>
      <c r="H38" s="431"/>
      <c r="I38" s="432">
        <f ca="1">'FCFF Model'!C32</f>
        <v>16.439219262117337</v>
      </c>
      <c r="J38" s="433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0.67999999999999994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80%-(5%*IF(LEFT(D20,2)="St",1,IF(LEFT(D20,2)="Sl",2,IF(LEFT(D20,2)="Cy",3,IF(LEFT(D20,2)="Fa",4,IF(LEFT(D20,2)="Tu",5,0))))))</f>
        <v>0.75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0.57632653061224492</v>
      </c>
      <c r="G43" s="331"/>
      <c r="H43" s="114"/>
      <c r="I43" s="114"/>
      <c r="J43" s="114"/>
    </row>
    <row r="44" spans="2:11" ht="15.75" customHeight="1">
      <c r="B44" s="3" t="s">
        <v>320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317</v>
      </c>
      <c r="F46" s="258" t="s">
        <v>318</v>
      </c>
    </row>
    <row r="47" spans="2:11" ht="15.75" customHeight="1">
      <c r="B47" s="3" t="s">
        <v>299</v>
      </c>
      <c r="E47" s="329">
        <f ca="1">I37/C31-1</f>
        <v>0.2764985369845625</v>
      </c>
      <c r="F47" s="332">
        <f ca="1">I37/C38-1</f>
        <v>0.2764985369845625</v>
      </c>
    </row>
    <row r="48" spans="2:11" ht="15.75" customHeight="1">
      <c r="B48" s="3" t="s">
        <v>300</v>
      </c>
      <c r="E48" s="329">
        <f ca="1">I38/C31-1</f>
        <v>-0.11712034038037933</v>
      </c>
      <c r="F48" s="332">
        <f ca="1">I38/C38-1</f>
        <v>-0.11712034038037933</v>
      </c>
    </row>
    <row r="49" spans="2:9" ht="15.75" customHeight="1"/>
    <row r="50" spans="2:9" ht="15.75" customHeight="1">
      <c r="B50" s="3" t="s">
        <v>302</v>
      </c>
      <c r="E50" s="353">
        <f ca="1">IF(E47&lt;=0,0,AVERAGE(F41:F43,1-F44,E47/J27))</f>
        <v>0.77776384310701141</v>
      </c>
      <c r="F50" s="329">
        <f ca="1">IF(F47&lt;=0,0,AVERAGE(F41:F43,1-F44,F47/J27))</f>
        <v>0.77776384310701141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2.3608071500352565</v>
      </c>
      <c r="F51" s="328">
        <f ca="1">IF(F48&gt;=0,100,F47/ABS(F48))</f>
        <v>2.3608071500352565</v>
      </c>
      <c r="G51" s="73"/>
    </row>
    <row r="52" spans="2:9" ht="15.75" customHeight="1">
      <c r="B52" s="3" t="s">
        <v>323</v>
      </c>
      <c r="E52" s="358">
        <f ca="1">MAX(J27*2/E47,1)</f>
        <v>1.4466622657838253</v>
      </c>
      <c r="F52" s="358">
        <f ca="1">MAX(J27*2/F47,1)</f>
        <v>1.4466622657838253</v>
      </c>
      <c r="G52" s="330"/>
      <c r="H52" s="84"/>
      <c r="I52" s="84"/>
    </row>
    <row r="53" spans="2:9" ht="15.75" customHeight="1">
      <c r="B53" s="3" t="s">
        <v>322</v>
      </c>
      <c r="E53" s="327">
        <f ca="1">MIN(MAX(E50-ABS((1-E50)/E51),0)/E52,H53)</f>
        <v>0.4</v>
      </c>
      <c r="F53" s="327">
        <f ca="1">MIN(MAX(F50-ABS((1-F50)/F51),0)/F52,H53)</f>
        <v>0.4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307</v>
      </c>
    </row>
    <row r="56" spans="2:9" ht="15.75" customHeight="1">
      <c r="B56" s="460" t="s">
        <v>308</v>
      </c>
    </row>
    <row r="57" spans="2:9" ht="15.75" customHeight="1">
      <c r="B57" s="3" t="s">
        <v>341</v>
      </c>
    </row>
    <row r="58" spans="2:9" ht="15.75" customHeight="1">
      <c r="B58" s="3" t="s">
        <v>342</v>
      </c>
    </row>
    <row r="59" spans="2:9" ht="15.75" customHeight="1"/>
    <row r="60" spans="2:9" ht="15.75" customHeight="1">
      <c r="B60" s="460" t="s">
        <v>309</v>
      </c>
    </row>
    <row r="61" spans="2:9" ht="15.75" customHeight="1">
      <c r="B61" s="3" t="s">
        <v>343</v>
      </c>
    </row>
    <row r="62" spans="2:9" ht="15.75" customHeight="1">
      <c r="B62" s="3" t="s">
        <v>344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2:J32"/>
    <mergeCell ref="I35:J35"/>
    <mergeCell ref="I33:J33"/>
    <mergeCell ref="I30:J30"/>
    <mergeCell ref="I34:J34"/>
    <mergeCell ref="C34:D34"/>
    <mergeCell ref="C35:D35"/>
    <mergeCell ref="E35:F35"/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38" zoomScaleNormal="100" workbookViewId="0">
      <selection activeCell="D47" sqref="D4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1284757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1362882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11977844</v>
      </c>
      <c r="D7" s="35">
        <v>11737803</v>
      </c>
      <c r="E7" s="35">
        <v>8861335</v>
      </c>
      <c r="F7" s="35">
        <v>11233771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2.0450249505806095E-2</v>
      </c>
      <c r="D8" s="14">
        <f t="shared" si="1"/>
        <v>0.32460887665346139</v>
      </c>
      <c r="E8" s="14">
        <f t="shared" si="1"/>
        <v>-0.21118785490642455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8747447</v>
      </c>
      <c r="D9" s="35">
        <v>8503976</v>
      </c>
      <c r="E9" s="35">
        <v>6229020</v>
      </c>
      <c r="F9" s="35">
        <v>7910751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0.2696977018568617</v>
      </c>
      <c r="D10" s="14">
        <f t="shared" si="2"/>
        <v>0.27550530537955015</v>
      </c>
      <c r="E10" s="14">
        <f t="shared" si="2"/>
        <v>0.29705625619616005</v>
      </c>
      <c r="F10" s="14">
        <f t="shared" si="2"/>
        <v>0.29580627912034169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1867515</v>
      </c>
      <c r="D11" s="35">
        <v>1815111</v>
      </c>
      <c r="E11" s="35">
        <v>1694480</v>
      </c>
      <c r="F11" s="35">
        <v>2118252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0.15591411943585171</v>
      </c>
      <c r="D12" s="14">
        <f t="shared" si="3"/>
        <v>0.15463805279403647</v>
      </c>
      <c r="E12" s="14">
        <f t="shared" si="3"/>
        <v>0.19122175157580656</v>
      </c>
      <c r="F12" s="14">
        <f t="shared" si="3"/>
        <v>0.18856108069142588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0.11378358242100998</v>
      </c>
      <c r="D13" s="14">
        <f t="shared" si="4"/>
        <v>0.12086725258551366</v>
      </c>
      <c r="E13" s="14">
        <f t="shared" si="4"/>
        <v>0.10583450462035347</v>
      </c>
      <c r="F13" s="14">
        <f t="shared" si="4"/>
        <v>0.10724519842891581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1362882</v>
      </c>
      <c r="D14" s="27">
        <f t="shared" si="5"/>
        <v>1418716</v>
      </c>
      <c r="E14" s="27">
        <f t="shared" si="5"/>
        <v>937835</v>
      </c>
      <c r="F14" s="27">
        <f t="shared" si="5"/>
        <v>1204768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-3.9355304373814071E-2</v>
      </c>
      <c r="D15" s="14">
        <f t="shared" ref="D15:M15" si="6">IF(E14="","",IF(ABS(D14+E14)=ABS(D14)+ABS(E14),IF(D14&lt;0,-1,1)*(D14-E14)/E14,"Turn"))</f>
        <v>0.51275650834101949</v>
      </c>
      <c r="E15" s="14">
        <f t="shared" si="6"/>
        <v>-0.22156381975616882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1362882</v>
      </c>
      <c r="D16" s="140">
        <f>IF(D14="","",D14*(1-Operation!$D$17))</f>
        <v>1418716</v>
      </c>
      <c r="E16" s="140">
        <f>IF(E14="","",E14*(1-Operation!$D$17))</f>
        <v>937835</v>
      </c>
      <c r="F16" s="140">
        <f>IF(F14="","",F14*(1-Operation!$D$17))</f>
        <v>1204768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0.11378358242100998</v>
      </c>
      <c r="D17" s="126">
        <f t="shared" si="7"/>
        <v>0.12086725258551366</v>
      </c>
      <c r="E17" s="126">
        <f t="shared" si="7"/>
        <v>0.10583450462035347</v>
      </c>
      <c r="F17" s="126">
        <f t="shared" si="7"/>
        <v>0.10724519842891581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20763</v>
      </c>
      <c r="D18" s="141">
        <v>23097</v>
      </c>
      <c r="E18" s="141">
        <v>28849</v>
      </c>
      <c r="F18" s="141">
        <v>63075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1284757</v>
      </c>
      <c r="D19" s="35">
        <v>1392364</v>
      </c>
      <c r="E19" s="35">
        <v>1017335</v>
      </c>
      <c r="F19" s="35">
        <v>866315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-7.7283670074779293E-2</v>
      </c>
      <c r="D20" s="14">
        <f t="shared" ref="D20:M20" si="8">IF(E19="","",IF(ABS(D19+E19)=ABS(D19)+ABS(E19),IF(D19&lt;0,-1,1)*(D19-E19)/E19,"Turn"))</f>
        <v>0.36863864901925125</v>
      </c>
      <c r="E20" s="14">
        <f t="shared" si="8"/>
        <v>0.17432458170526888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11972903</v>
      </c>
      <c r="D21" s="35">
        <v>13002006</v>
      </c>
      <c r="E21" s="35">
        <v>11732726</v>
      </c>
      <c r="F21" s="35">
        <v>11080464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2466431</v>
      </c>
      <c r="D22" s="35">
        <v>3908586</v>
      </c>
      <c r="E22" s="35">
        <v>2946772</v>
      </c>
      <c r="F22" s="35">
        <v>3072821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712596</v>
      </c>
      <c r="D23" s="35">
        <v>2159434</v>
      </c>
      <c r="E23" s="35">
        <v>1427602</v>
      </c>
      <c r="F23" s="35">
        <v>1982205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172462</v>
      </c>
      <c r="D24" s="137">
        <v>204598</v>
      </c>
      <c r="E24" s="137">
        <v>338574</v>
      </c>
      <c r="F24" s="137">
        <v>469394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147605</v>
      </c>
      <c r="D25" s="35">
        <v>153013</v>
      </c>
      <c r="E25" s="35">
        <v>81854</v>
      </c>
      <c r="F25" s="35">
        <v>283661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147605</v>
      </c>
      <c r="D26" s="137">
        <v>153013</v>
      </c>
      <c r="E26" s="137">
        <v>81854</v>
      </c>
      <c r="F26" s="137">
        <v>283661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860201</v>
      </c>
      <c r="D27" s="27">
        <f t="shared" si="9"/>
        <v>2312447</v>
      </c>
      <c r="E27" s="27">
        <f t="shared" si="9"/>
        <v>1509456</v>
      </c>
      <c r="F27" s="27">
        <f t="shared" si="9"/>
        <v>2265866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12220942</v>
      </c>
      <c r="D28" s="35">
        <v>12078528</v>
      </c>
      <c r="E28" s="35">
        <v>11324224</v>
      </c>
      <c r="F28" s="35">
        <v>10412111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12221440</v>
      </c>
      <c r="D29" s="137">
        <v>12078996</v>
      </c>
      <c r="E29" s="137">
        <v>11324665</v>
      </c>
      <c r="F29" s="137">
        <v>10371705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1588618</v>
      </c>
      <c r="D30" s="35">
        <v>1214520</v>
      </c>
      <c r="E30" s="35">
        <v>1225222</v>
      </c>
      <c r="F30" s="35">
        <v>1760710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3492037</v>
      </c>
      <c r="E31" s="35">
        <v>3546349</v>
      </c>
      <c r="F31" s="35">
        <v>2714233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0.2354864416744617</v>
      </c>
      <c r="D32" s="14">
        <f t="shared" si="10"/>
        <v>-8.8117116226986789E-3</v>
      </c>
      <c r="E32" s="14">
        <f t="shared" si="10"/>
        <v>-0.43705385636235716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25804.407500000001</v>
      </c>
      <c r="D33" s="236">
        <f>IF(E7="","",(D7-E7)*Asset_Model!$D$65)</f>
        <v>309220.31</v>
      </c>
      <c r="E33" s="236">
        <f>IF(F7="","",(E7-F7)*Asset_Model!$D$65)</f>
        <v>-255036.87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399902.40749999997</v>
      </c>
      <c r="D34" s="140">
        <f>IF(E7="","",D30-E30+D33+IF($C$55="Yes",D57,0))</f>
        <v>298518.31</v>
      </c>
      <c r="E34" s="140">
        <f t="shared" ref="E34:F34" si="11">IF(F7="","",E30-F30+E33+IF($C$55="Yes",E57,0))</f>
        <v>-790524.87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0.29342408770531858</v>
      </c>
      <c r="D35" s="227">
        <f t="shared" si="19"/>
        <v>0.21041442402848773</v>
      </c>
      <c r="E35" s="227">
        <f t="shared" si="19"/>
        <v>-0.842925322684694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910017</v>
      </c>
      <c r="E37" s="162">
        <v>587108</v>
      </c>
      <c r="F37" s="162">
        <v>645819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1.5499997147031845</v>
      </c>
      <c r="E39" s="167">
        <f t="shared" si="20"/>
        <v>1.0000002554896856</v>
      </c>
      <c r="F39" s="167">
        <f t="shared" si="20"/>
        <v>1.1000006216915683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1.2078037846837012E-2</v>
      </c>
      <c r="D42" s="48">
        <f t="shared" ref="D42:M42" si="22">IF(D29="","",D25/D29)</f>
        <v>1.2667691917440821E-2</v>
      </c>
      <c r="E42" s="48">
        <f t="shared" si="22"/>
        <v>7.227940075931606E-3</v>
      </c>
      <c r="F42" s="48">
        <f t="shared" si="22"/>
        <v>2.7349505216355461E-2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7.0384586431713442E-2</v>
      </c>
      <c r="D43" s="14">
        <f t="shared" si="23"/>
        <v>0.1914436431637199</v>
      </c>
      <c r="E43" s="14">
        <f t="shared" si="23"/>
        <v>0.13328924078548901</v>
      </c>
      <c r="F43" s="14">
        <f t="shared" si="23"/>
        <v>0.2184661056210141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1.5843762097463268</v>
      </c>
      <c r="D44" s="50">
        <f t="shared" si="24"/>
        <v>0.61351287186257675</v>
      </c>
      <c r="E44" s="50">
        <f t="shared" si="24"/>
        <v>0.62130661642340024</v>
      </c>
      <c r="F44" s="50">
        <f t="shared" si="24"/>
        <v>0.53170311042224028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1.52346277960968E-2</v>
      </c>
      <c r="D45" s="14">
        <f t="shared" si="25"/>
        <v>1.6280213939928782E-2</v>
      </c>
      <c r="E45" s="14">
        <f t="shared" si="25"/>
        <v>3.0761274637862736E-2</v>
      </c>
      <c r="F45" s="14">
        <f t="shared" si="25"/>
        <v>5.2354478206592475E-2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4.8543433811852026</v>
      </c>
      <c r="D46" s="51">
        <f t="shared" si="26"/>
        <v>3.3265242212912804</v>
      </c>
      <c r="E46" s="51">
        <f t="shared" si="26"/>
        <v>3.9815520169188523</v>
      </c>
      <c r="F46" s="51">
        <f t="shared" si="26"/>
        <v>3.6059581732876729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462" t="s">
        <v>345</v>
      </c>
      <c r="C47" s="461"/>
      <c r="D47" s="461"/>
      <c r="E47" s="461"/>
      <c r="F47" s="461"/>
      <c r="G47" s="461"/>
      <c r="H47" s="461"/>
      <c r="I47" s="461"/>
      <c r="J47" s="461"/>
      <c r="K47" s="461"/>
      <c r="L47" s="461"/>
      <c r="M47" s="461"/>
      <c r="N47" s="6"/>
    </row>
    <row r="48" spans="1:14" ht="15.75" customHeight="1">
      <c r="A48" s="9"/>
      <c r="B48" s="165" t="s">
        <v>346</v>
      </c>
      <c r="C48" s="463">
        <f>C13</f>
        <v>0.11378358242100998</v>
      </c>
      <c r="D48" s="463">
        <f>D13</f>
        <v>0.12086725258551366</v>
      </c>
      <c r="E48" s="463">
        <f t="shared" ref="E48:M48" si="27">E13</f>
        <v>0.10583450462035347</v>
      </c>
      <c r="F48" s="463">
        <f t="shared" si="27"/>
        <v>0.10724519842891581</v>
      </c>
      <c r="G48" s="463" t="str">
        <f t="shared" si="27"/>
        <v/>
      </c>
      <c r="H48" s="463" t="str">
        <f t="shared" si="27"/>
        <v/>
      </c>
      <c r="I48" s="463" t="str">
        <f t="shared" si="27"/>
        <v/>
      </c>
      <c r="J48" s="463" t="str">
        <f t="shared" si="27"/>
        <v/>
      </c>
      <c r="K48" s="463" t="str">
        <f t="shared" si="27"/>
        <v/>
      </c>
      <c r="L48" s="463" t="str">
        <f t="shared" si="27"/>
        <v/>
      </c>
      <c r="M48" s="463" t="str">
        <f t="shared" si="27"/>
        <v/>
      </c>
      <c r="N48" s="6"/>
    </row>
    <row r="49" spans="1:14" ht="15.75" customHeight="1">
      <c r="A49" s="9"/>
      <c r="B49" s="139" t="s">
        <v>347</v>
      </c>
      <c r="C49" s="464">
        <f>C7/(C29+C21+C22)</f>
        <v>0.44926842709067638</v>
      </c>
      <c r="D49" s="464">
        <f>IF(D7="","",D7/(D29+D21+D22))</f>
        <v>0.40489719964285109</v>
      </c>
      <c r="E49" s="464">
        <f t="shared" ref="E49:M49" si="28">IF(E7="","",E7/(E29+E21+E22))</f>
        <v>0.34076601504151471</v>
      </c>
      <c r="F49" s="464">
        <f t="shared" si="28"/>
        <v>0.45805405017494399</v>
      </c>
      <c r="G49" s="464" t="str">
        <f t="shared" si="28"/>
        <v/>
      </c>
      <c r="H49" s="464" t="str">
        <f t="shared" si="28"/>
        <v/>
      </c>
      <c r="I49" s="464" t="str">
        <f t="shared" si="28"/>
        <v/>
      </c>
      <c r="J49" s="464" t="str">
        <f t="shared" si="28"/>
        <v/>
      </c>
      <c r="K49" s="464" t="str">
        <f t="shared" si="28"/>
        <v/>
      </c>
      <c r="L49" s="464" t="str">
        <f t="shared" si="28"/>
        <v/>
      </c>
      <c r="M49" s="464" t="str">
        <f t="shared" si="28"/>
        <v/>
      </c>
      <c r="N49" s="6"/>
    </row>
    <row r="50" spans="1:14" ht="15.75" customHeight="1">
      <c r="A50" s="9"/>
      <c r="B50" s="139" t="s">
        <v>348</v>
      </c>
      <c r="C50" s="465">
        <f>(C29+C21+C22)/C29</f>
        <v>2.1814756689882699</v>
      </c>
      <c r="D50" s="465">
        <f>IF(D29="","",(D29+D21+D22)/D29)</f>
        <v>2.3999998013079895</v>
      </c>
      <c r="E50" s="465">
        <f t="shared" ref="E50:M50" si="29">IF(E29="","",(E29+E21+E22)/E29)</f>
        <v>2.2962412574676603</v>
      </c>
      <c r="F50" s="465">
        <f t="shared" si="29"/>
        <v>2.364605433725699</v>
      </c>
      <c r="G50" s="465" t="str">
        <f t="shared" si="29"/>
        <v/>
      </c>
      <c r="H50" s="465" t="str">
        <f t="shared" si="29"/>
        <v/>
      </c>
      <c r="I50" s="465" t="str">
        <f t="shared" si="29"/>
        <v/>
      </c>
      <c r="J50" s="465" t="str">
        <f t="shared" si="29"/>
        <v/>
      </c>
      <c r="K50" s="465" t="str">
        <f t="shared" si="29"/>
        <v/>
      </c>
      <c r="L50" s="465" t="str">
        <f t="shared" si="29"/>
        <v/>
      </c>
      <c r="M50" s="465" t="str">
        <f t="shared" si="29"/>
        <v/>
      </c>
      <c r="N50" s="6"/>
    </row>
    <row r="51" spans="1:14" ht="15.75" customHeight="1">
      <c r="A51" s="9"/>
      <c r="B51" s="139" t="s">
        <v>349</v>
      </c>
      <c r="C51" s="466">
        <f>C48*C49*C50</f>
        <v>0.1115156642752409</v>
      </c>
      <c r="D51" s="466">
        <f>IF(D48="","",D48*D49*D50)</f>
        <v>0.11745313931720815</v>
      </c>
      <c r="E51" s="466">
        <f t="shared" ref="E51:M51" si="30">IF(E48="","",E48*E49*E50)</f>
        <v>8.2813487198076061E-2</v>
      </c>
      <c r="F51" s="466">
        <f t="shared" si="30"/>
        <v>0.11615910788052687</v>
      </c>
      <c r="G51" s="466" t="str">
        <f t="shared" si="30"/>
        <v/>
      </c>
      <c r="H51" s="466" t="str">
        <f t="shared" si="30"/>
        <v/>
      </c>
      <c r="I51" s="466" t="str">
        <f t="shared" si="30"/>
        <v/>
      </c>
      <c r="J51" s="466" t="str">
        <f t="shared" si="30"/>
        <v/>
      </c>
      <c r="K51" s="466" t="str">
        <f t="shared" si="30"/>
        <v/>
      </c>
      <c r="L51" s="466" t="str">
        <f t="shared" si="30"/>
        <v/>
      </c>
      <c r="M51" s="466" t="str">
        <f t="shared" si="30"/>
        <v/>
      </c>
      <c r="N51" s="6"/>
    </row>
    <row r="52" spans="1:14" ht="15.75" customHeight="1">
      <c r="A52" s="9"/>
      <c r="B52" s="467" t="s">
        <v>350</v>
      </c>
      <c r="C52" s="468">
        <f>C35*C51</f>
        <v>3.2721382054815146E-2</v>
      </c>
      <c r="D52" s="468">
        <f>IF(D35="","",D35*D51)</f>
        <v>2.4713834659768077E-2</v>
      </c>
      <c r="E52" s="468">
        <f t="shared" ref="E52:M52" si="31">IF(E35="","",E35*E51)</f>
        <v>-6.9805585419083035E-2</v>
      </c>
      <c r="F52" s="468" t="str">
        <f t="shared" si="31"/>
        <v/>
      </c>
      <c r="G52" s="468" t="str">
        <f t="shared" si="31"/>
        <v/>
      </c>
      <c r="H52" s="468" t="str">
        <f t="shared" si="31"/>
        <v/>
      </c>
      <c r="I52" s="468" t="str">
        <f t="shared" si="31"/>
        <v/>
      </c>
      <c r="J52" s="468" t="str">
        <f t="shared" si="31"/>
        <v/>
      </c>
      <c r="K52" s="468" t="str">
        <f t="shared" si="31"/>
        <v/>
      </c>
      <c r="L52" s="468" t="str">
        <f t="shared" si="31"/>
        <v/>
      </c>
      <c r="M52" s="468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0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7" workbookViewId="0">
      <selection activeCell="I30" sqref="I3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12220942</v>
      </c>
      <c r="E3" s="153" t="str">
        <f>IF((C46-I46)=D3,"", "Error!")</f>
        <v/>
      </c>
      <c r="F3" s="6"/>
      <c r="G3" s="6"/>
      <c r="H3" s="258" t="s">
        <v>244</v>
      </c>
      <c r="I3" s="259">
        <v>12221440</v>
      </c>
      <c r="K3" s="73"/>
    </row>
    <row r="4" spans="1:11" ht="15" customHeight="1">
      <c r="B4" s="5" t="s">
        <v>217</v>
      </c>
      <c r="C4" s="6"/>
      <c r="D4" s="260">
        <f>D3-I3</f>
        <v>-498</v>
      </c>
      <c r="E4" s="147"/>
      <c r="F4" s="6"/>
      <c r="G4" s="6"/>
      <c r="H4" s="60" t="s">
        <v>80</v>
      </c>
      <c r="I4" s="89">
        <f>(I3*Dashboard!I12*Data!C4)/Dashboard!I5</f>
        <v>20.816345753169543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8727518.2896439247</v>
      </c>
      <c r="E6" s="14">
        <f>1-D6/D3</f>
        <v>0.28585551836806655</v>
      </c>
      <c r="F6" s="6"/>
      <c r="G6" s="6"/>
      <c r="H6" s="3" t="s">
        <v>287</v>
      </c>
      <c r="I6" s="69">
        <f>C26/I26</f>
        <v>4.8543433811852026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14.865272691625439</v>
      </c>
      <c r="E7" s="49" t="str">
        <f>Dashboard!J4</f>
        <v>HKD</v>
      </c>
      <c r="H7" s="3" t="s">
        <v>288</v>
      </c>
      <c r="I7" s="69">
        <f>C25/I26</f>
        <v>1.2170176258731746</v>
      </c>
      <c r="J7" s="6"/>
      <c r="K7" s="114"/>
    </row>
    <row r="8" spans="1:11" ht="15" customHeight="1">
      <c r="D8" s="6"/>
      <c r="H8" s="3" t="s">
        <v>289</v>
      </c>
      <c r="I8" s="69">
        <f>C24/I26</f>
        <v>0.95184134484200045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321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2347651</v>
      </c>
      <c r="D11" s="65">
        <v>1</v>
      </c>
      <c r="E11" s="27">
        <f t="shared" ref="E11:E21" si="0">C11*D11</f>
        <v>2347651</v>
      </c>
      <c r="F11" s="6"/>
      <c r="G11" s="6"/>
      <c r="H11" s="5" t="s">
        <v>90</v>
      </c>
      <c r="I11" s="64">
        <f>115020+425114</f>
        <v>540134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172462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1753835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4+440212+213823</f>
        <v>654039</v>
      </c>
      <c r="D17" s="65">
        <v>0.7</v>
      </c>
      <c r="E17" s="27">
        <f t="shared" si="0"/>
        <v>457827.3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8852611</v>
      </c>
      <c r="D18" s="65">
        <v>0.8</v>
      </c>
      <c r="E18" s="27">
        <f t="shared" si="0"/>
        <v>7082088.8000000007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19724</v>
      </c>
      <c r="D21" s="65">
        <v>0.95</v>
      </c>
      <c r="E21" s="27">
        <f t="shared" si="0"/>
        <v>18737.8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98878</v>
      </c>
      <c r="D22" s="65">
        <v>0.4</v>
      </c>
      <c r="E22" s="27">
        <f t="shared" ref="E22" si="1">C22*D22</f>
        <v>39551.200000000004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2347651</v>
      </c>
      <c r="D24" s="68">
        <f>IF(E24=0,0,E24/C24)</f>
        <v>1</v>
      </c>
      <c r="E24" s="27">
        <f>SUM(E11:E14)</f>
        <v>2347651</v>
      </c>
      <c r="F24" s="6"/>
      <c r="G24" s="6"/>
      <c r="H24" s="66" t="s">
        <v>290</v>
      </c>
      <c r="I24" s="69">
        <f>E24/($I$26-I15)</f>
        <v>3.2945048807458925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3001690</v>
      </c>
      <c r="D25" s="68">
        <f>IF(E25=0,0,E25/C25)</f>
        <v>0.93463292345312132</v>
      </c>
      <c r="E25" s="27">
        <f>E24+SUM(E15:E17)</f>
        <v>2805478.3</v>
      </c>
      <c r="F25" s="6"/>
      <c r="G25" s="6"/>
      <c r="H25" s="66" t="s">
        <v>294</v>
      </c>
      <c r="I25" s="69">
        <f>E25/$I$26</f>
        <v>1.1374647415638224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11972903</v>
      </c>
      <c r="D26" s="14">
        <f t="shared" ref="D26" si="2">E26/C26</f>
        <v>0.83069712499967652</v>
      </c>
      <c r="E26" s="27">
        <f>SUM(E11:E22)</f>
        <v>9945856.1000000015</v>
      </c>
      <c r="H26" s="5" t="s">
        <v>56</v>
      </c>
      <c r="I26" s="64">
        <v>2466431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788</v>
      </c>
      <c r="D29" s="65">
        <v>0.5</v>
      </c>
      <c r="E29" s="27">
        <f t="shared" ref="E29:E40" si="3">C29*D29</f>
        <v>394</v>
      </c>
      <c r="F29" s="6"/>
      <c r="G29" s="6"/>
      <c r="H29" s="5" t="s">
        <v>111</v>
      </c>
      <c r="I29" s="64">
        <v>147605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90724</v>
      </c>
      <c r="D32" s="65">
        <v>0.4</v>
      </c>
      <c r="E32" s="27">
        <f t="shared" si="3"/>
        <v>36289.599999999999</v>
      </c>
      <c r="G32" s="6"/>
      <c r="H32" s="5" t="s">
        <v>116</v>
      </c>
      <c r="I32" s="152">
        <f>I42-SUM(I28:I31)</f>
        <v>93528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1127727</v>
      </c>
      <c r="D34" s="65">
        <v>0.6</v>
      </c>
      <c r="E34" s="214">
        <f t="shared" si="3"/>
        <v>676636.2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918560+670058</f>
        <v>1588618</v>
      </c>
      <c r="D36" s="65">
        <v>0.4</v>
      </c>
      <c r="E36" s="27">
        <f t="shared" si="3"/>
        <v>635447.20000000007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1080</v>
      </c>
      <c r="D38" s="65">
        <v>0.6</v>
      </c>
      <c r="E38" s="27">
        <f t="shared" si="3"/>
        <v>648</v>
      </c>
      <c r="F38" s="6"/>
      <c r="G38" s="6"/>
    </row>
    <row r="39" spans="2:10" ht="15" customHeight="1">
      <c r="B39" s="5" t="s">
        <v>120</v>
      </c>
      <c r="C39" s="64">
        <v>146666</v>
      </c>
      <c r="D39" s="65">
        <v>0.95</v>
      </c>
      <c r="E39" s="27">
        <f t="shared" si="3"/>
        <v>139332.69999999998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2955603</v>
      </c>
      <c r="D42" s="14">
        <f>E42/C42</f>
        <v>0.50370354205216328</v>
      </c>
      <c r="E42" s="27">
        <f>SUM(E28:E40)</f>
        <v>1488747.7</v>
      </c>
      <c r="F42" s="6"/>
      <c r="G42" s="6"/>
      <c r="H42" s="5" t="s">
        <v>123</v>
      </c>
      <c r="I42" s="64">
        <v>241133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2348439</v>
      </c>
      <c r="D44" s="68">
        <f>IF(E44=0,0,E44/C44)</f>
        <v>0.99983222898274127</v>
      </c>
      <c r="E44" s="27">
        <f>E24+SUM(E28:E29)</f>
        <v>2348045</v>
      </c>
      <c r="F44" s="6"/>
      <c r="G44" s="6"/>
      <c r="H44" s="66" t="s">
        <v>291</v>
      </c>
      <c r="I44" s="69">
        <f>E44/(I46-I15-I32)</f>
        <v>2.729646908106361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3093202</v>
      </c>
      <c r="D45" s="68">
        <f>IF(E45=0,0,E45/C45)</f>
        <v>0.91884134951419272</v>
      </c>
      <c r="E45" s="27">
        <f>E44+(E25-E24)+SUM(E30:E33)</f>
        <v>2842161.9</v>
      </c>
      <c r="F45" s="6"/>
      <c r="G45" s="6"/>
      <c r="H45" s="66" t="s">
        <v>295</v>
      </c>
      <c r="I45" s="69">
        <f>E45/$I$46</f>
        <v>1.0497118073663263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14928506</v>
      </c>
      <c r="D46" s="14">
        <f>E46/C46</f>
        <v>0.76595767855135677</v>
      </c>
      <c r="E46" s="27">
        <f>E26+E42</f>
        <v>11434603.800000001</v>
      </c>
      <c r="F46" s="6"/>
      <c r="G46" s="6"/>
      <c r="H46" s="5" t="s">
        <v>292</v>
      </c>
      <c r="I46" s="152">
        <f>I26+I42</f>
        <v>2707564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P/B Approach</v>
      </c>
      <c r="E49" s="6"/>
    </row>
    <row r="50" spans="2:9" ht="14">
      <c r="B50" s="5" t="s">
        <v>201</v>
      </c>
      <c r="C50" s="212">
        <f>D4</f>
        <v>-498</v>
      </c>
      <c r="D50" s="208">
        <f>IF(E50=0, 0,E50/C50)</f>
        <v>0.96082257816132333</v>
      </c>
      <c r="E50" s="212">
        <f>MAX(C50,C50*Dashboard!I10)</f>
        <v>-478.48964392433902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860201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860201</v>
      </c>
      <c r="E53" s="371"/>
      <c r="F53" s="5"/>
      <c r="G53" s="5"/>
      <c r="H53" s="3" t="s">
        <v>293</v>
      </c>
      <c r="I53" s="14">
        <f>D53/I3</f>
        <v>7.0384586431713442E-2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788</v>
      </c>
      <c r="D58" s="126">
        <f>IF(E58=0,0,E58/C58)</f>
        <v>0.5</v>
      </c>
      <c r="E58" s="215">
        <f>E14+E15+(E19*G19)+(E20*G20)+E29+E30+(E31*G31)+(E33*G33)+(E34*G34)+(E35*G35)</f>
        <v>394</v>
      </c>
      <c r="H58" s="6"/>
    </row>
    <row r="59" spans="2:9" ht="14">
      <c r="B59" s="53" t="s">
        <v>89</v>
      </c>
      <c r="C59" s="207">
        <f>C11+C12+C28</f>
        <v>2347651</v>
      </c>
      <c r="D59" s="208">
        <f>IF(E59=0,0,E59/C59)</f>
        <v>1</v>
      </c>
      <c r="E59" s="209">
        <f>E11+E12+E28</f>
        <v>2347651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10253440.510356076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0.59767191825173216</v>
      </c>
      <c r="E63" s="445"/>
    </row>
    <row r="64" spans="2:9" ht="15" customHeight="1">
      <c r="B64" s="3" t="s">
        <v>250</v>
      </c>
      <c r="D64" s="442">
        <v>0.1075</v>
      </c>
      <c r="E64" s="443"/>
      <c r="F64" s="250" t="s">
        <v>236</v>
      </c>
    </row>
    <row r="65" spans="2:5" ht="15" customHeight="1">
      <c r="B65" s="271" t="s">
        <v>252</v>
      </c>
      <c r="D65" s="442">
        <v>0.1075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IF(G8="","",EOMONTH(EDATE(E3,12),0))</f>
        <v>45747</v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327</v>
      </c>
      <c r="C4" s="273">
        <v>4360265</v>
      </c>
      <c r="D4" s="244">
        <f>C4/$C$7</f>
        <v>0.36402753283479061</v>
      </c>
      <c r="E4" s="273">
        <f>C4*1.1</f>
        <v>4796291.5</v>
      </c>
      <c r="F4" s="244">
        <f>E4/E$7</f>
        <v>0.40015862037831434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328</v>
      </c>
      <c r="C5" s="273">
        <v>5391825</v>
      </c>
      <c r="D5" s="244">
        <f>C5/$C$7</f>
        <v>0.45014987672238843</v>
      </c>
      <c r="E5" s="273">
        <f>C5*0.9</f>
        <v>4852642.5</v>
      </c>
      <c r="F5" s="244">
        <f>E5/E$7</f>
        <v>0.40486003154503308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329</v>
      </c>
      <c r="C6" s="273">
        <v>2225754</v>
      </c>
      <c r="D6" s="244">
        <f>C6/$C$7</f>
        <v>0.18582259044282093</v>
      </c>
      <c r="E6" s="273">
        <f>C6*1.05</f>
        <v>2337041.7000000002</v>
      </c>
      <c r="F6" s="244">
        <f>E6/E$7</f>
        <v>0.19498134807665266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11977844</v>
      </c>
      <c r="D7" s="243"/>
      <c r="E7" s="313">
        <f>SUM(E4:E6)</f>
        <v>11985975.699999999</v>
      </c>
      <c r="F7" s="243"/>
      <c r="G7" s="313">
        <f>E7*(1+G8)</f>
        <v>13184573.27</v>
      </c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6.7889513338115215E-4</v>
      </c>
      <c r="F8" s="245"/>
      <c r="G8" s="72">
        <v>0.1</v>
      </c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8747447</v>
      </c>
      <c r="D9" s="246"/>
      <c r="E9" s="221">
        <f>E7*(1-E10)</f>
        <v>9076644.6092780288</v>
      </c>
      <c r="F9" s="246"/>
      <c r="G9" s="264">
        <f>IF(G7="","",G7*(1-G10))</f>
        <v>9824295.860216124</v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0.2696977018568617</v>
      </c>
      <c r="D10" s="183"/>
      <c r="E10" s="72">
        <f>C10*0.9</f>
        <v>0.24272793167117554</v>
      </c>
      <c r="F10" s="183"/>
      <c r="G10" s="72">
        <f>E10*1.05</f>
        <v>0.25486432825473432</v>
      </c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3230397</v>
      </c>
      <c r="D11" s="27"/>
      <c r="E11" s="27">
        <f>E7-E9</f>
        <v>2909331.0907219704</v>
      </c>
      <c r="F11" s="27"/>
      <c r="G11" s="27">
        <f>IF(G8="","",G7-G9)</f>
        <v>3360277.4097838756</v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0.15591411943585173</v>
      </c>
      <c r="D12" s="186"/>
      <c r="E12" s="220">
        <f>C12</f>
        <v>0.15591411943585173</v>
      </c>
      <c r="F12" s="186"/>
      <c r="G12" s="65">
        <f>E12</f>
        <v>0.15591411943585173</v>
      </c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1653445+214070</f>
        <v>1867515</v>
      </c>
      <c r="D13" s="247"/>
      <c r="E13" s="75">
        <f>E12*E7</f>
        <v>1868782.8468450166</v>
      </c>
      <c r="F13" s="247"/>
      <c r="G13" s="75">
        <f>G12*G7</f>
        <v>2055661.1315295182</v>
      </c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0.11378358242100998</v>
      </c>
      <c r="D14" s="18"/>
      <c r="E14" s="18">
        <f>E16/E7</f>
        <v>8.681381223532382E-2</v>
      </c>
      <c r="F14" s="18"/>
      <c r="G14" s="18">
        <f>IF(G8="","",G16/G7)</f>
        <v>9.8950208818882571E-2</v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-0.23650892456063413</v>
      </c>
      <c r="F15" s="248"/>
      <c r="G15" s="14">
        <f>IF(G8="","",IF(ABS(E16+G16)=ABS(E16)+ABS(G16),IF(G16&lt;0,-1,1)*(G16-E16)/E16,"Turn"))</f>
        <v>0.25377779063229089</v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1362882</v>
      </c>
      <c r="D16" s="296"/>
      <c r="E16" s="295">
        <f>E11-E13</f>
        <v>1040548.2438769538</v>
      </c>
      <c r="F16" s="296"/>
      <c r="G16" s="295">
        <f>IF(G8="","",G11-G13)</f>
        <v>1304616.2782543574</v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f>(17.9%+17.3%)/2</f>
        <v>0.17599999999999999</v>
      </c>
      <c r="D17" s="293"/>
      <c r="E17" s="294">
        <f>IF(E16="","",C17)</f>
        <v>0.17599999999999999</v>
      </c>
      <c r="F17" s="294"/>
      <c r="G17" s="294">
        <f>IF(G16="","",E17)</f>
        <v>0.17599999999999999</v>
      </c>
      <c r="H17" s="294"/>
      <c r="I17" s="294" t="str">
        <f>IF(I16="","",G17)</f>
        <v/>
      </c>
      <c r="J17" s="310"/>
      <c r="L17" s="73" t="s">
        <v>333</v>
      </c>
    </row>
    <row r="18" spans="2:12" ht="15.75" customHeight="1">
      <c r="B18" s="300" t="s">
        <v>284</v>
      </c>
      <c r="C18" s="248">
        <f>C19/C9</f>
        <v>0.12838200311473738</v>
      </c>
      <c r="D18" s="302"/>
      <c r="E18" s="301">
        <f>E19/E9</f>
        <v>9.4463514862989664E-2</v>
      </c>
      <c r="F18" s="301"/>
      <c r="G18" s="301">
        <f>IF(G9="","",G19/G9)</f>
        <v>0.1094229885354798</v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1123014.7680000002</v>
      </c>
      <c r="D19" s="298"/>
      <c r="E19" s="299">
        <f>IF(E16="","",IF(E16&lt;=0,E16,E16*(1-E17)))</f>
        <v>857411.75295461004</v>
      </c>
      <c r="F19" s="298"/>
      <c r="G19" s="299">
        <f>IF(G16="","",IF(G16&lt;=0,G16,G16*(1-G17)))</f>
        <v>1075003.8132815906</v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8:H12 H13 G14:H16">
    <cfRule type="containsBlanks" dxfId="5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4" priority="1">
      <formula>LEN(TRIM(G8))=0</formula>
    </cfRule>
  </conditionalFormatting>
  <conditionalFormatting sqref="I8:J16">
    <cfRule type="containsBlanks" dxfId="3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D32" sqref="D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1123014.7680000002</v>
      </c>
      <c r="D4" s="45">
        <f>Operation!E19</f>
        <v>857411.75295461004</v>
      </c>
      <c r="E4" s="45">
        <f>Operation!G19</f>
        <v>1075003.8132815906</v>
      </c>
      <c r="F4" s="198" t="str">
        <f>Operation!I19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-0.23650892456063421</v>
      </c>
      <c r="E5" s="242">
        <f>IF(E4="","",E4/D4-1)</f>
        <v>0.25377779063229089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0.25190000000000001</v>
      </c>
      <c r="D6" s="220">
        <f>C6</f>
        <v>0.25190000000000001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282887.42005920003</v>
      </c>
      <c r="D7" s="286">
        <f>D6*D4</f>
        <v>215982.02056926629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840127.34794080013</v>
      </c>
      <c r="D8" s="188">
        <f>D4-D7</f>
        <v>641429.73238534376</v>
      </c>
      <c r="E8" s="188">
        <f>IF(E4="","",E4-E7)</f>
        <v>1075003.8132815906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1.4309591465022997</v>
      </c>
      <c r="D9" s="283">
        <f>D8/(Common_Shares/Data!$C$4)</f>
        <v>1.0925245376728379</v>
      </c>
      <c r="E9" s="283">
        <f>IF(E8="","",E8/(Common_Shares/Data!$C$4))</f>
        <v>1.8310159083745696</v>
      </c>
      <c r="F9" s="283" t="str">
        <f>IF(F8="","",F8/(Common_Shares/Data!$C$4))</f>
        <v/>
      </c>
      <c r="G9" s="337">
        <f>IF(F4="",IF(E4="",D8,E8),F8)*Data!C$4/Dashboard!I5</f>
        <v>1.8310159083745698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1.0306835261064509</v>
      </c>
      <c r="E12" s="193">
        <f ca="1">IF(E9="","",E9/E11)</f>
        <v>1.6295976400628065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2347651</v>
      </c>
      <c r="D15" s="213">
        <f>C15/(Dashboard!I5/Data!C4)</f>
        <v>3.9986707723291386</v>
      </c>
      <c r="E15" s="84" t="s">
        <v>224</v>
      </c>
      <c r="G15" s="134">
        <f>C15+C16+C17+C18</f>
        <v>1488322.4896439244</v>
      </c>
    </row>
    <row r="16" spans="1:10" ht="15.75" customHeight="1">
      <c r="B16" s="58" t="s">
        <v>230</v>
      </c>
      <c r="C16" s="83">
        <f>Asset_Model!E58</f>
        <v>394</v>
      </c>
      <c r="D16" s="213">
        <f>C16/(Dashboard!I5/Data!C4)</f>
        <v>6.7108624079885838E-4</v>
      </c>
      <c r="E16" s="84" t="s">
        <v>305</v>
      </c>
      <c r="G16" s="194">
        <f>(G15+MIN(D4,0))*Data!C$4/Dashboard!I5</f>
        <v>2.535006966171419</v>
      </c>
    </row>
    <row r="17" spans="2:9" ht="15.75" customHeight="1">
      <c r="B17" s="58" t="s">
        <v>214</v>
      </c>
      <c r="C17" s="83">
        <f>-Asset_Model!D52</f>
        <v>-860201</v>
      </c>
      <c r="D17" s="213">
        <f>C17/(Dashboard!I5/Data!C4)</f>
        <v>-1.4651498868563928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478.48964392433902</v>
      </c>
      <c r="D18" s="213">
        <f>C18/(Dashboard!I5/Data!C4)</f>
        <v>8.1499445787403294E-4</v>
      </c>
      <c r="E18" s="451"/>
      <c r="F18" s="145">
        <f>D15+(MIN(D4,0)*Data!C$4/Dashboard!I5)</f>
        <v>3.9986707723291386</v>
      </c>
      <c r="G18" s="144">
        <f>SUM(D16:D18)</f>
        <v>-1.4636638061577198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0.1</v>
      </c>
      <c r="D22" s="277">
        <v>10</v>
      </c>
      <c r="E22" s="202">
        <f ca="1">IF(G9&lt;0,G9,G9*D22/G11)</f>
        <v>15.373562642101948</v>
      </c>
      <c r="F22" s="342">
        <f ca="1">E22+$G$16</f>
        <v>17.908569608273368</v>
      </c>
      <c r="G22" s="345">
        <f ca="1">ROUND(F22*Exchange_Rate,2)</f>
        <v>17.91</v>
      </c>
      <c r="I22" s="73"/>
    </row>
    <row r="23" spans="2:9" ht="15.75" customHeight="1" thickBot="1">
      <c r="B23" s="339" t="s">
        <v>279</v>
      </c>
      <c r="C23" s="340">
        <f>1/D23</f>
        <v>6.25E-2</v>
      </c>
      <c r="D23" s="290">
        <v>16</v>
      </c>
      <c r="E23" s="341">
        <f ca="1">IF(G9&lt;0,G9,G9*D23/G11)</f>
        <v>24.597700227363116</v>
      </c>
      <c r="F23" s="343">
        <f ca="1">E23+$G$16</f>
        <v>27.132707193534536</v>
      </c>
      <c r="G23" s="348">
        <f ca="1">ROUND(F23*Exchange_Rate,2)</f>
        <v>27.13</v>
      </c>
      <c r="I23" s="73"/>
    </row>
    <row r="24" spans="2:9" ht="15.75" customHeight="1" thickTop="1">
      <c r="C24" s="6"/>
      <c r="D24" s="6"/>
      <c r="E24" s="6"/>
      <c r="F24" s="346" t="s">
        <v>312</v>
      </c>
      <c r="G24" s="347">
        <f ca="1">MIN(G22,G23)+ABS(G22-G23)*'Qualitative Analysis'!$E$64</f>
        <v>23.2237306122449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314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311</v>
      </c>
      <c r="C27" s="238">
        <f ca="1">MIN(G24,Asset_Model!D7)+ABS(G24-Asset_Model!D7)*'Qualitative Analysis'!$E$8</f>
        <v>20.549024077646671</v>
      </c>
      <c r="D27" s="117" t="str">
        <f>Dashboard!J4</f>
        <v>HKD</v>
      </c>
      <c r="E27" s="118">
        <f ca="1">(C27-G16)/C9</f>
        <v>12.588771073938064</v>
      </c>
      <c r="F27" s="155">
        <f ca="1">C27/(Data!C28*Exchange_Rate*Data!C4/Common_Shares)</f>
        <v>0.98719831464917918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319</v>
      </c>
      <c r="C30" s="335">
        <f ca="1">IF(G9&lt;0,G9,G9*17/G11)</f>
        <v>26.135056491573312</v>
      </c>
      <c r="D30" s="334" t="str">
        <f>D27</f>
        <v>HKD</v>
      </c>
      <c r="E30" s="118">
        <f ca="1">(C30-G16)/C9</f>
        <v>16.492469112823805</v>
      </c>
      <c r="F30" s="155">
        <f ca="1">C30/(Asset_Model!I3*Exchange_Rate*Data!C4/Common_Shares)</f>
        <v>1.2555064563910758</v>
      </c>
      <c r="I30" s="73"/>
    </row>
    <row r="31" spans="2:9" ht="15.75" customHeight="1">
      <c r="B31" s="352" t="s">
        <v>306</v>
      </c>
      <c r="C31" s="350">
        <f ca="1">MIN(C30,C27)+ABS(C30-C27)*'Qualitative Analysis'!E64</f>
        <v>23.768402758652556</v>
      </c>
      <c r="D31" s="334" t="str">
        <f>D30</f>
        <v>HKD</v>
      </c>
      <c r="E31" s="118">
        <f ca="1">(C31-G16)/C9</f>
        <v>14.838575821246907</v>
      </c>
      <c r="F31" s="155">
        <f ca="1">C31/(Asset_Model!I3*Exchange_Rate*Data!C4/Common_Shares)</f>
        <v>1.1418143722479979</v>
      </c>
      <c r="I31" s="73"/>
    </row>
    <row r="32" spans="2:9" ht="15.75" customHeight="1">
      <c r="B32" s="333" t="s">
        <v>313</v>
      </c>
      <c r="C32" s="350">
        <f ca="1">IF(Asset_Model!D7&gt;C27,Asset_Model!D7,C27)/(1+Dashboard!C16)</f>
        <v>16.439219262117337</v>
      </c>
      <c r="D32" s="334" t="str">
        <f>D30</f>
        <v>HKD</v>
      </c>
      <c r="E32" s="118">
        <f ca="1">(C32-G16)/C9</f>
        <v>9.7167080764898497</v>
      </c>
      <c r="F32" s="155">
        <f ca="1">C32/(Asset_Model!I3*Exchange_Rate*Data!C4/Common_Shares)</f>
        <v>0.78972647058450518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2" priority="5">
      <formula>LEN(TRIM(E4))=0</formula>
    </cfRule>
  </conditionalFormatting>
  <conditionalFormatting sqref="E22:G23">
    <cfRule type="cellIs" dxfId="1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" zoomScaleNormal="100" workbookViewId="0">
      <selection activeCell="E19" sqref="E1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2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2.7199999999999998</v>
      </c>
      <c r="E8" s="96">
        <f>D8/4</f>
        <v>0.67999999999999994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2</v>
      </c>
      <c r="E14" s="31" t="s">
        <v>147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0.15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1</v>
      </c>
      <c r="E40" s="31" t="s">
        <v>155</v>
      </c>
      <c r="F40" s="6"/>
      <c r="G40" s="274"/>
    </row>
    <row r="41" spans="2:7" ht="15" customHeight="1">
      <c r="B41" s="53" t="s">
        <v>272</v>
      </c>
      <c r="D41" s="98">
        <f t="shared" si="4"/>
        <v>2</v>
      </c>
      <c r="E41" s="31" t="s">
        <v>147</v>
      </c>
      <c r="G41" s="274"/>
    </row>
    <row r="42" spans="2:7" ht="15" customHeight="1">
      <c r="B42" s="1" t="s">
        <v>173</v>
      </c>
      <c r="D42" s="101">
        <f>SUM(D43:D48)/(6*4)</f>
        <v>0.70833333333333337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0.37346938775510202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1.4693877551020407</v>
      </c>
      <c r="E54" s="31" t="s">
        <v>334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0.79166666666666663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3</v>
      </c>
      <c r="E57" s="31" t="s">
        <v>148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0.50530612244897966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2.3053061224489797</v>
      </c>
      <c r="E64" s="123">
        <f>AVERAGE(AVERAGE(D12:D16)/4,AVERAGE(D18:D22)/4,AVERAGE(D24:D28)/4,D62)</f>
        <v>0.57632653061224492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679a99b9</vt:lpwstr>
  </property>
</Properties>
</file>