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92248EA3-8043-47CF-835F-8B1DE3EFFE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C30" i="4" l="1"/>
  <c r="C13" i="7"/>
  <c r="E13" i="7" s="1"/>
  <c r="E12" i="7" s="1"/>
  <c r="E11" i="3"/>
  <c r="E12" i="3"/>
  <c r="C9" i="7"/>
  <c r="C37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4" i="2" s="1"/>
  <c r="K14" i="2"/>
  <c r="J15" i="2" s="1"/>
  <c r="M12" i="2"/>
  <c r="M10" i="2"/>
  <c r="L10" i="2"/>
  <c r="K10" i="2"/>
  <c r="H10" i="2"/>
  <c r="G10" i="2"/>
  <c r="D10" i="2"/>
  <c r="L14" i="2"/>
  <c r="L44" i="2" s="1"/>
  <c r="J14" i="2"/>
  <c r="J13" i="2" s="1"/>
  <c r="I10" i="2"/>
  <c r="H14" i="2"/>
  <c r="H44" i="2" s="1"/>
  <c r="G14" i="2"/>
  <c r="G16" i="2" s="1"/>
  <c r="G4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J16" i="2"/>
  <c r="J45" i="2" s="1"/>
  <c r="J44" i="2"/>
  <c r="C46" i="2"/>
  <c r="G12" i="2"/>
  <c r="D14" i="2"/>
  <c r="D16" i="2" s="1"/>
  <c r="H12" i="2"/>
  <c r="L12" i="2"/>
  <c r="F10" i="2"/>
  <c r="J10" i="2"/>
  <c r="J12" i="2"/>
  <c r="E14" i="2"/>
  <c r="E13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K15" i="2" l="1"/>
  <c r="K13" i="2"/>
  <c r="K16" i="2"/>
  <c r="K45" i="2" s="1"/>
  <c r="L13" i="2"/>
  <c r="K44" i="2"/>
  <c r="G15" i="2"/>
  <c r="L16" i="2"/>
  <c r="L45" i="2" s="1"/>
  <c r="M13" i="2"/>
  <c r="L15" i="2"/>
  <c r="M16" i="2"/>
  <c r="M45" i="2" s="1"/>
  <c r="I15" i="2"/>
  <c r="I44" i="2"/>
  <c r="H15" i="2"/>
  <c r="H13" i="2"/>
  <c r="I13" i="2"/>
  <c r="H16" i="2"/>
  <c r="H45" i="2" s="1"/>
  <c r="G44" i="2"/>
  <c r="F15" i="2"/>
  <c r="G13" i="2"/>
  <c r="D6" i="7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E9" i="7" s="1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11" i="4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3" i="1"/>
  <c r="D6" i="3" l="1"/>
  <c r="D7" i="3" s="1"/>
  <c r="D7" i="4"/>
  <c r="D8" i="4" s="1"/>
  <c r="D9" i="4" s="1"/>
  <c r="D12" i="4" s="1"/>
  <c r="E8" i="4"/>
  <c r="G9" i="4" s="1"/>
  <c r="E6" i="3"/>
  <c r="E17" i="4"/>
  <c r="F16" i="1"/>
  <c r="H16" i="1" s="1"/>
  <c r="E5" i="4"/>
  <c r="E10" i="4"/>
  <c r="F41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s="1"/>
  <c r="C31" i="4" s="1"/>
  <c r="C32" i="4" l="1"/>
  <c r="I37" i="1" l="1"/>
  <c r="D18" i="1" s="1"/>
  <c r="E14" i="1"/>
  <c r="E27" i="4"/>
  <c r="F27" i="4"/>
  <c r="F47" i="1" l="1"/>
  <c r="F50" i="1" s="1"/>
  <c r="D16" i="1"/>
  <c r="F31" i="4"/>
  <c r="E47" i="1"/>
  <c r="E50" i="1" s="1"/>
  <c r="E31" i="4"/>
  <c r="E48" i="1"/>
  <c r="F48" i="1"/>
  <c r="F32" i="4"/>
  <c r="E32" i="4"/>
  <c r="I38" i="1"/>
  <c r="B17" i="1" s="1"/>
  <c r="D17" i="1" s="1"/>
  <c r="F52" i="1" l="1"/>
  <c r="F51" i="1"/>
  <c r="E52" i="1"/>
  <c r="E51" i="1"/>
  <c r="H17" i="1"/>
  <c r="J17" i="1"/>
  <c r="F53" i="1" l="1"/>
  <c r="E53" i="1"/>
</calcChain>
</file>

<file path=xl/sharedStrings.xml><?xml version="1.0" encoding="utf-8"?>
<sst xmlns="http://schemas.openxmlformats.org/spreadsheetml/2006/main" count="421" uniqueCount="351">
  <si>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</si>
  <si>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</si>
  <si>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</si>
  <si>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</si>
  <si>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</si>
  <si>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</si>
  <si>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</si>
  <si>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</si>
  <si>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</si>
  <si>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</si>
  <si>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</si>
  <si>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</si>
  <si>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</si>
  <si>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</si>
  <si>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</si>
  <si>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</si>
  <si>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</si>
  <si>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</si>
  <si>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</si>
  <si>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</si>
  <si>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</si>
  <si>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</si>
  <si>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</si>
  <si>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</si>
  <si>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</si>
  <si>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</si>
  <si>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</si>
  <si>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</si>
  <si>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</si>
  <si>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</si>
  <si>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</si>
  <si>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</si>
  <si>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</si>
  <si>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</si>
  <si>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</si>
  <si>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</si>
  <si>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</si>
  <si>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</si>
  <si>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</si>
  <si>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</si>
  <si>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</si>
  <si>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</si>
  <si>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</si>
  <si>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</si>
  <si>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</si>
  <si>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</si>
  <si>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</si>
  <si>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</si>
  <si>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</si>
  <si>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</si>
  <si>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</si>
  <si>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</si>
  <si>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</si>
  <si>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</si>
  <si>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</si>
  <si>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</si>
  <si>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</si>
  <si>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</si>
  <si>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</si>
  <si>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</si>
  <si>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</si>
  <si>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</si>
  <si>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</si>
  <si>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</si>
  <si>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</si>
  <si>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</si>
  <si>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</si>
  <si>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</si>
  <si>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</si>
  <si>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</si>
  <si>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</si>
  <si>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</si>
  <si>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</si>
  <si>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</si>
  <si>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</si>
  <si>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</si>
  <si>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</si>
  <si>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</si>
  <si>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</si>
  <si>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</si>
  <si>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</si>
  <si>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</si>
  <si>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</si>
  <si>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</si>
  <si>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</si>
  <si>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</si>
  <si>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</si>
  <si>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</si>
  <si>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</si>
  <si>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</si>
  <si>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</si>
  <si>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</si>
  <si>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</si>
  <si>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</si>
  <si>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</si>
  <si>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</si>
  <si>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</si>
  <si>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</si>
  <si>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</si>
  <si>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</si>
  <si>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</si>
  <si>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</si>
  <si>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</si>
  <si>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</si>
  <si>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</si>
  <si>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</si>
  <si>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</si>
  <si>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</si>
  <si>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</si>
  <si>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</si>
  <si>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</si>
  <si>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</si>
  <si>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</si>
  <si>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</si>
  <si>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</si>
  <si>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</si>
  <si>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</si>
  <si>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</si>
  <si>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</si>
  <si>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</si>
  <si>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</si>
  <si>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</si>
  <si>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</si>
  <si>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</si>
  <si>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</si>
  <si>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</si>
  <si>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</si>
  <si>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</si>
  <si>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</si>
  <si>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</si>
  <si>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</si>
  <si>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</si>
  <si>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</si>
  <si>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</si>
  <si>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</si>
  <si>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</si>
  <si>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</si>
  <si>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</si>
  <si>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</si>
  <si>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</si>
  <si>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</si>
  <si>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</si>
  <si>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</si>
  <si>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</si>
  <si>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</si>
  <si>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</si>
  <si>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</si>
  <si>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</si>
  <si>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</si>
  <si>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</si>
  <si>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</si>
  <si>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</si>
  <si>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</si>
  <si>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</si>
  <si>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</si>
  <si>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</si>
  <si>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</si>
  <si>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</si>
  <si>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</si>
  <si>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</si>
  <si>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</si>
  <si>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</si>
  <si>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</si>
  <si>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</si>
  <si>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</si>
  <si>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</si>
  <si>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</si>
  <si>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</si>
  <si>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</si>
  <si>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</si>
  <si>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</si>
  <si>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</si>
  <si>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</si>
  <si>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</si>
  <si>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</si>
  <si>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</si>
  <si>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</si>
  <si>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</si>
  <si>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</si>
  <si>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</si>
  <si>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</si>
  <si>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</si>
  <si>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</si>
  <si>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</si>
  <si>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</si>
  <si>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</si>
  <si>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</si>
  <si>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</si>
  <si>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</si>
  <si>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</si>
  <si>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</si>
  <si>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</si>
  <si>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</si>
  <si>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</si>
  <si>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</si>
  <si>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</si>
  <si>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</si>
  <si>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</si>
  <si>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</si>
  <si>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</si>
  <si>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</si>
  <si>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</si>
  <si>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</si>
  <si>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</si>
  <si>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</si>
  <si>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</si>
  <si>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</si>
  <si>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</si>
  <si>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</si>
  <si>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</si>
  <si>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</si>
  <si>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</si>
  <si>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</si>
  <si>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</si>
  <si>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</si>
  <si>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</si>
  <si>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</si>
  <si>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</si>
  <si>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</si>
  <si>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</si>
  <si>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</si>
  <si>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</si>
  <si>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</si>
  <si>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</si>
  <si>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</si>
  <si>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</si>
  <si>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</si>
  <si>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</si>
  <si>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</si>
  <si>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</si>
  <si>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</si>
  <si>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</si>
  <si>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</si>
  <si>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</si>
  <si>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</si>
  <si>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</si>
  <si>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</si>
  <si>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</si>
  <si>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</si>
  <si>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</si>
  <si>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</si>
  <si>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</si>
  <si>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</si>
  <si>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</si>
  <si>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</si>
  <si>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</si>
  <si>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</si>
  <si>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</si>
  <si>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</si>
  <si>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</si>
  <si>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</si>
  <si>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</si>
  <si>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</si>
  <si>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</si>
  <si>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</si>
  <si>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</si>
  <si>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</si>
  <si>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</si>
  <si>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</si>
  <si>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</si>
  <si>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</si>
  <si>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</si>
  <si>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</si>
  <si>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</si>
  <si>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</si>
  <si>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</si>
  <si>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</si>
  <si>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</si>
  <si>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</si>
  <si>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</si>
  <si>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</si>
  <si>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</si>
  <si>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</si>
  <si>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</si>
  <si>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</si>
  <si>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</si>
  <si>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</si>
  <si>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</si>
  <si>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</si>
  <si>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</si>
  <si>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</si>
  <si>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</si>
  <si>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</si>
  <si>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</si>
  <si>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</si>
  <si>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</si>
  <si>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</si>
  <si>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</si>
  <si>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</si>
  <si>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</si>
  <si>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</si>
  <si>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</si>
  <si>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</si>
  <si>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</si>
  <si>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</si>
  <si>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</si>
  <si>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</si>
  <si>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</si>
  <si>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</si>
  <si>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</si>
  <si>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</si>
  <si>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</si>
  <si>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</si>
  <si>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</si>
  <si>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</si>
  <si>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</si>
  <si>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</si>
  <si>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</si>
  <si>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</si>
  <si>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</si>
  <si>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</si>
  <si>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</si>
  <si>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</si>
  <si>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</si>
  <si>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</si>
  <si>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</si>
  <si>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</si>
  <si>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</si>
  <si>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</si>
  <si>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</si>
  <si>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</si>
  <si>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</si>
  <si>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</si>
  <si>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</si>
  <si>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</si>
  <si>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</si>
  <si>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</si>
  <si>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</si>
  <si>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</si>
  <si>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</si>
  <si>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</si>
  <si>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</si>
  <si>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</si>
  <si>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</si>
  <si>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</si>
  <si>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</si>
  <si>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</si>
  <si>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</si>
  <si>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</si>
  <si>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</si>
  <si>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</si>
  <si>
    <t>What Went Wrong?</t>
  </si>
  <si>
    <t>1. 香港大众住宅楼市场基本饱和、商业物业市场低迷、办公楼(特别九龙)供应量过大
2. 内地市场低迷
3. 上半年业绩很差，预计23年6月止年报的P&amp;L数字将很难看。</t>
  </si>
  <si>
    <t>Can it be Fixed?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</si>
  <si>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我认为是短期影响，而且开关后正在恢复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</si>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</sst>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30" sqref="C30:D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329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330</v>
      </c>
      <c r="D4" s="414"/>
      <c r="E4" s="6"/>
      <c r="G4" s="5" t="s">
        <v>5</v>
      </c>
      <c r="I4" s="32">
        <v>2.69</v>
      </c>
      <c r="J4" s="33" t="s">
        <v>6</v>
      </c>
      <c r="K4" s="149"/>
    </row>
    <row r="5" spans="1:12" ht="15.75" customHeight="1">
      <c r="B5" s="5" t="s">
        <v>7</v>
      </c>
      <c r="C5" s="415">
        <v>44771</v>
      </c>
      <c r="D5" s="414"/>
      <c r="E5" s="120" t="str">
        <f ca="1">IF(C5+30&gt;=TODAY(),"Patience Premium","")</f>
        <v/>
      </c>
      <c r="G5" s="5" t="s">
        <v>8</v>
      </c>
      <c r="I5" s="383">
        <v>1826710016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4913.8499430399997</v>
      </c>
      <c r="J6" s="424"/>
      <c r="K6" s="148"/>
    </row>
    <row r="7" spans="1:12" ht="15.75" customHeight="1">
      <c r="B7" s="136" t="s">
        <v>10</v>
      </c>
      <c r="C7" s="142">
        <f>(Data!C39*Exchange_Rate)/I4</f>
        <v>3.0043855980808946E-2</v>
      </c>
      <c r="D7" s="142">
        <f>(Data!C40*Exchange_Rate)/I4</f>
        <v>1.1853434816930034E-2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1.0933761373361526</v>
      </c>
      <c r="J10" s="127">
        <f>IF(Asset_Model!D60/'FCFF Model'!C4&lt;0,"Negative EV",Asset_Model!D60/'FCFF Model'!C4)</f>
        <v>24.223976102535982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1.973811082503208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2.69</v>
      </c>
      <c r="C16" s="404">
        <v>0.25</v>
      </c>
      <c r="D16" s="156">
        <f ca="1">I37/B16-(1+J27)</f>
        <v>-0.15650612208417325</v>
      </c>
      <c r="E16" s="395" t="s">
        <v>23</v>
      </c>
      <c r="F16" s="425">
        <f>('FCFF Model'!G16)*Exchange_Rate</f>
        <v>1.9065785589911606</v>
      </c>
      <c r="G16" s="395" t="s">
        <v>24</v>
      </c>
      <c r="H16" s="355">
        <f>B16-$F$16</f>
        <v>0.78342144100883937</v>
      </c>
      <c r="I16" s="390">
        <v>0</v>
      </c>
      <c r="J16" s="158">
        <f>I16/B16</f>
        <v>0</v>
      </c>
    </row>
    <row r="17" spans="1:10" ht="15.75" customHeight="1">
      <c r="B17" s="269">
        <f ca="1">(I37+I38)/2</f>
        <v>2.1993520214429245</v>
      </c>
      <c r="C17" s="405"/>
      <c r="D17" s="268">
        <f ca="1">I37/B17-(1+J27)</f>
        <v>7.6284334761468342E-2</v>
      </c>
      <c r="E17" s="396"/>
      <c r="F17" s="426"/>
      <c r="G17" s="396"/>
      <c r="H17" s="356">
        <f ca="1">B17-$F$16</f>
        <v>0.29277346245176394</v>
      </c>
      <c r="I17" s="391"/>
      <c r="J17" s="159">
        <f ca="1">I16/B17</f>
        <v>0</v>
      </c>
    </row>
    <row r="18" spans="1:10" ht="15.75" customHeight="1">
      <c r="B18" s="323">
        <f>C37</f>
        <v>2.2000000000000002</v>
      </c>
      <c r="C18" s="406"/>
      <c r="D18" s="157">
        <f ca="1">I37/B18-(1+J27)</f>
        <v>7.5908423451624296E-2</v>
      </c>
      <c r="E18" s="397"/>
      <c r="F18" s="427"/>
      <c r="G18" s="397"/>
      <c r="H18" s="357">
        <f>B18-$F$16</f>
        <v>0.2934214410088396</v>
      </c>
      <c r="I18" s="392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331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332</v>
      </c>
      <c r="D22" s="364"/>
      <c r="E22" s="364"/>
      <c r="F22" s="364"/>
      <c r="G22" s="380" t="s">
        <v>334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333</v>
      </c>
      <c r="D23" s="394"/>
      <c r="E23" s="394"/>
      <c r="F23" s="394"/>
      <c r="G23" s="393" t="s">
        <v>335</v>
      </c>
      <c r="H23" s="393"/>
      <c r="I23" s="394"/>
      <c r="J23" s="394"/>
    </row>
    <row r="24" spans="1:10" ht="52.5" customHeight="1">
      <c r="A24" s="6"/>
      <c r="B24" s="24" t="s">
        <v>341</v>
      </c>
      <c r="C24" s="453" t="s">
        <v>342</v>
      </c>
      <c r="D24" s="454"/>
      <c r="E24" s="454"/>
      <c r="F24" s="454"/>
      <c r="G24" s="454"/>
      <c r="H24" s="454"/>
      <c r="I24" s="454"/>
      <c r="J24" s="455"/>
    </row>
    <row r="25" spans="1:10" ht="52.5" customHeight="1">
      <c r="A25" s="6"/>
      <c r="B25" s="456" t="s">
        <v>343</v>
      </c>
      <c r="C25" s="457" t="s">
        <v>344</v>
      </c>
      <c r="D25" s="458"/>
      <c r="E25" s="458"/>
      <c r="F25" s="458"/>
      <c r="G25" s="458"/>
      <c r="H25" s="458"/>
      <c r="I25" s="458"/>
      <c r="J25" s="45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328</v>
      </c>
      <c r="I27" s="30"/>
      <c r="J27" s="359">
        <v>0.2</v>
      </c>
    </row>
    <row r="28" spans="1:10" ht="15.75" customHeight="1">
      <c r="B28" s="23" t="s">
        <v>31</v>
      </c>
      <c r="C28" s="416"/>
      <c r="D28" s="417"/>
      <c r="E28" s="401" t="str">
        <f>IF(C28="","","Action_Planning")</f>
        <v/>
      </c>
      <c r="F28" s="402"/>
      <c r="G28" s="402"/>
      <c r="H28" s="403"/>
      <c r="I28" s="428" t="s">
        <v>32</v>
      </c>
      <c r="J28" s="428"/>
    </row>
    <row r="29" spans="1:10" ht="15.75" customHeight="1">
      <c r="B29" s="23" t="s">
        <v>33</v>
      </c>
      <c r="C29" s="389">
        <f>C33/D27</f>
        <v>0.2</v>
      </c>
      <c r="D29" s="375"/>
      <c r="E29" s="388">
        <f>E33/D27</f>
        <v>0</v>
      </c>
      <c r="F29" s="375"/>
      <c r="G29" s="399">
        <f>G33/D27</f>
        <v>0</v>
      </c>
      <c r="H29" s="400"/>
      <c r="I29" s="398">
        <f>C29+E29+G29</f>
        <v>0.2</v>
      </c>
      <c r="J29" s="398"/>
    </row>
    <row r="30" spans="1:10" ht="15.75" customHeight="1">
      <c r="B30" s="23" t="s">
        <v>34</v>
      </c>
      <c r="C30" s="363">
        <v>60000</v>
      </c>
      <c r="D30" s="364"/>
      <c r="E30" s="363"/>
      <c r="F30" s="364"/>
      <c r="G30" s="383"/>
      <c r="H30" s="384"/>
      <c r="I30" s="377">
        <f>C30+E30+G30</f>
        <v>60000</v>
      </c>
      <c r="J30" s="377"/>
    </row>
    <row r="31" spans="1:10" ht="15.75" customHeight="1">
      <c r="B31" s="23" t="s">
        <v>35</v>
      </c>
      <c r="C31" s="365">
        <v>2.2000000000000002</v>
      </c>
      <c r="D31" s="364"/>
      <c r="E31" s="365">
        <v>2.2000000000000002</v>
      </c>
      <c r="F31" s="364"/>
      <c r="G31" s="386"/>
      <c r="H31" s="387"/>
      <c r="I31" s="385"/>
      <c r="J31" s="385"/>
    </row>
    <row r="32" spans="1:10" ht="15.75" customHeight="1">
      <c r="B32" s="23" t="s">
        <v>36</v>
      </c>
      <c r="C32" s="361">
        <f>C31*$I$5/1000000</f>
        <v>4018.7620352000004</v>
      </c>
      <c r="D32" s="362"/>
      <c r="E32" s="361">
        <f>E31*$I$5/1000000</f>
        <v>4018.7620352000004</v>
      </c>
      <c r="F32" s="362"/>
      <c r="G32" s="407">
        <f>G31*$I$5/1000000</f>
        <v>0</v>
      </c>
      <c r="H32" s="408"/>
      <c r="I32" s="376"/>
      <c r="J32" s="376"/>
    </row>
    <row r="33" spans="2:11" ht="15.75" customHeight="1">
      <c r="B33" s="2" t="s">
        <v>37</v>
      </c>
      <c r="C33" s="370">
        <f>C30*C31</f>
        <v>132000</v>
      </c>
      <c r="D33" s="371"/>
      <c r="E33" s="372">
        <f>E30*E31</f>
        <v>0</v>
      </c>
      <c r="F33" s="373"/>
      <c r="G33" s="409">
        <f>G30*G31</f>
        <v>0</v>
      </c>
      <c r="H33" s="410"/>
      <c r="I33" s="372">
        <f>C33+E33+G33</f>
        <v>132000</v>
      </c>
      <c r="J33" s="372"/>
    </row>
    <row r="34" spans="2:11" ht="15.75" customHeight="1">
      <c r="B34" s="1" t="s">
        <v>38</v>
      </c>
      <c r="C34" s="366"/>
      <c r="D34" s="367"/>
      <c r="E34" s="374">
        <f>IF(C33=0,"-",(C33+E33)/(C30+E30))</f>
        <v>2.2000000000000002</v>
      </c>
      <c r="F34" s="375"/>
      <c r="G34" s="115"/>
      <c r="H34" s="115"/>
      <c r="I34" s="374">
        <f>IF(I33=0,"",I33/I30)</f>
        <v>2.2000000000000002</v>
      </c>
      <c r="J34" s="374"/>
    </row>
    <row r="35" spans="2:11" ht="15.75" customHeight="1">
      <c r="B35" s="1" t="s">
        <v>39</v>
      </c>
      <c r="C35" s="368"/>
      <c r="D35" s="369"/>
      <c r="E35" s="361">
        <f>IF(E34="-","-",E34*$I$5/1000000)</f>
        <v>4018.7620352000004</v>
      </c>
      <c r="F35" s="362"/>
      <c r="G35" s="116"/>
      <c r="H35" s="116"/>
      <c r="I35" s="361">
        <f>IF(I34="","",I34*$I$5/1000000)</f>
        <v>4018.7620352000004</v>
      </c>
      <c r="J35" s="361"/>
    </row>
    <row r="36" spans="2:11" ht="15.75" customHeight="1"/>
    <row r="37" spans="2:11" ht="15.75" customHeight="1">
      <c r="B37" s="143" t="s">
        <v>286</v>
      </c>
      <c r="C37" s="434">
        <f>E31</f>
        <v>2.2000000000000002</v>
      </c>
      <c r="D37" s="435"/>
      <c r="G37" s="436" t="s">
        <v>317</v>
      </c>
      <c r="H37" s="437"/>
      <c r="I37" s="432">
        <f ca="1">'FCFF Model'!C31</f>
        <v>2.8069985315935737</v>
      </c>
      <c r="J37" s="433"/>
    </row>
    <row r="38" spans="2:11" ht="15.75" customHeight="1">
      <c r="B38" s="143" t="s">
        <v>318</v>
      </c>
      <c r="C38" s="434">
        <f>E34</f>
        <v>2.2000000000000002</v>
      </c>
      <c r="D38" s="435"/>
      <c r="G38" s="431" t="s">
        <v>315</v>
      </c>
      <c r="H38" s="431"/>
      <c r="I38" s="432">
        <f ca="1">'FCFF Model'!C32</f>
        <v>1.5917055112922753</v>
      </c>
      <c r="J38" s="433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0.64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80%-(5%*IF(LEFT(D20,2)="St",1,IF(LEFT(D20,2)="Sl",2,IF(LEFT(D20,2)="Cy",3,IF(LEFT(D20,2)="Fa",4,IF(LEFT(D20,2)="Tu",5,0))))))</f>
        <v>0.8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0.5228401360544217</v>
      </c>
      <c r="G43" s="331"/>
      <c r="H43" s="114"/>
      <c r="I43" s="114"/>
      <c r="J43" s="114"/>
    </row>
    <row r="44" spans="2:11" ht="15.75" customHeight="1">
      <c r="B44" s="3" t="s">
        <v>322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319</v>
      </c>
      <c r="F46" s="258" t="s">
        <v>320</v>
      </c>
    </row>
    <row r="47" spans="2:11" ht="15.75" customHeight="1">
      <c r="B47" s="3" t="s">
        <v>299</v>
      </c>
      <c r="E47" s="329">
        <f ca="1">I37/C31-1</f>
        <v>0.27590842345162425</v>
      </c>
      <c r="F47" s="332">
        <f ca="1">I37/C38-1</f>
        <v>0.27590842345162425</v>
      </c>
    </row>
    <row r="48" spans="2:11" ht="15.75" customHeight="1">
      <c r="B48" s="3" t="s">
        <v>300</v>
      </c>
      <c r="E48" s="329">
        <f ca="1">'FCFF Model'!C32/C31-1</f>
        <v>-0.27649749486714759</v>
      </c>
      <c r="F48" s="332">
        <f ca="1">'FCFF Model'!C32/C38-1</f>
        <v>-0.27649749486714759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0.76847645066250858</v>
      </c>
      <c r="F50" s="329">
        <f ca="1">IF(F47&lt;=0,0,AVERAGE(F41:F43,1-F44,F47/J27))</f>
        <v>0.76847645066250858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0.99786952349855329</v>
      </c>
      <c r="F51" s="328">
        <f ca="1">IF(F48&gt;=0,100,F47/ABS(F48))</f>
        <v>0.99786952349855329</v>
      </c>
      <c r="G51" s="73"/>
    </row>
    <row r="52" spans="2:9" ht="15.75" customHeight="1">
      <c r="B52" s="3" t="s">
        <v>327</v>
      </c>
      <c r="E52" s="358">
        <f ca="1">MAX(J27*2/E47,1)</f>
        <v>1.4497563901673813</v>
      </c>
      <c r="F52" s="358">
        <f ca="1">MAX(J27*2/F47,1)</f>
        <v>1.4497563901673813</v>
      </c>
      <c r="G52" s="330"/>
      <c r="H52" s="84"/>
      <c r="I52" s="84"/>
    </row>
    <row r="53" spans="2:9" ht="15.75" customHeight="1">
      <c r="B53" s="3" t="s">
        <v>326</v>
      </c>
      <c r="E53" s="327">
        <f ca="1">MIN(MAX(E50-ABS((1-E50)/E51),0)/E52,H53)</f>
        <v>0.37003361141856456</v>
      </c>
      <c r="F53" s="327">
        <f ca="1">MIN(MAX(F50-ABS((1-F50)/F51),0)/F52,H53)</f>
        <v>0.37003361141856456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308</v>
      </c>
    </row>
    <row r="56" spans="2:9" ht="15.75" customHeight="1">
      <c r="B56" s="3" t="s">
        <v>309</v>
      </c>
    </row>
    <row r="57" spans="2:9" ht="15.75" customHeight="1">
      <c r="B57" s="3" t="s">
        <v>310</v>
      </c>
    </row>
    <row r="58" spans="2:9" ht="15.75" customHeight="1"/>
    <row r="59" spans="2:9" ht="15.75" customHeight="1">
      <c r="B59" s="3" t="s">
        <v>311</v>
      </c>
    </row>
    <row r="60" spans="2:9" ht="15.75" customHeight="1">
      <c r="B60" s="3" t="s">
        <v>323</v>
      </c>
    </row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2:J32"/>
    <mergeCell ref="I35:J35"/>
    <mergeCell ref="I33:J33"/>
    <mergeCell ref="I30:J30"/>
    <mergeCell ref="I34:J34"/>
    <mergeCell ref="C34:D34"/>
    <mergeCell ref="C35:D35"/>
    <mergeCell ref="E35:F35"/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3" zoomScaleNormal="100" workbookViewId="0">
      <selection activeCell="D51" sqref="D5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-50809.483999999997</v>
      </c>
      <c r="D34" s="140">
        <f>IF(E7="","",D30-E30+D33+IF($C$55="Yes",D57,0))</f>
        <v>11925.8</v>
      </c>
      <c r="E34" s="140">
        <f t="shared" ref="E34:F34" si="11">IF(F7="","",E30-F30+E33+IF($C$55="Yes",E57,0))</f>
        <v>-13530.565999999999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461" t="s">
        <v>345</v>
      </c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6"/>
    </row>
    <row r="48" spans="1:14" ht="15.75" customHeight="1">
      <c r="A48" s="9"/>
      <c r="B48" s="165" t="s">
        <v>346</v>
      </c>
      <c r="C48" s="462">
        <f>C13</f>
        <v>7.4923487237038164E-2</v>
      </c>
      <c r="D48" s="462">
        <f>D13</f>
        <v>0.25549194826352611</v>
      </c>
      <c r="E48" s="462">
        <f t="shared" ref="E48:M48" si="27">E13</f>
        <v>0.5211237857946811</v>
      </c>
      <c r="F48" s="462">
        <f t="shared" si="27"/>
        <v>0.21246784436610849</v>
      </c>
      <c r="G48" s="462" t="str">
        <f t="shared" si="27"/>
        <v/>
      </c>
      <c r="H48" s="462" t="str">
        <f t="shared" si="27"/>
        <v/>
      </c>
      <c r="I48" s="462" t="str">
        <f t="shared" si="27"/>
        <v/>
      </c>
      <c r="J48" s="462" t="str">
        <f t="shared" si="27"/>
        <v/>
      </c>
      <c r="K48" s="462" t="str">
        <f t="shared" si="27"/>
        <v/>
      </c>
      <c r="L48" s="462" t="str">
        <f t="shared" si="27"/>
        <v/>
      </c>
      <c r="M48" s="462" t="str">
        <f t="shared" si="27"/>
        <v/>
      </c>
      <c r="N48" s="6"/>
    </row>
    <row r="49" spans="1:14" ht="15.75" customHeight="1">
      <c r="A49" s="9"/>
      <c r="B49" s="139" t="s">
        <v>347</v>
      </c>
      <c r="C49" s="463">
        <f>C7/(C29+C21+C22)</f>
        <v>8.6408186488409366E-2</v>
      </c>
      <c r="D49" s="463">
        <f>IF(D7="","",D7/(D29+D21+D22))</f>
        <v>0.17038045793846729</v>
      </c>
      <c r="E49" s="463">
        <f t="shared" ref="E49:M49" si="28">IF(E7="","",E7/(E29+E21+E22))</f>
        <v>0.25827934634613914</v>
      </c>
      <c r="F49" s="463">
        <f t="shared" si="28"/>
        <v>0.20898316544117312</v>
      </c>
      <c r="G49" s="463" t="str">
        <f t="shared" si="28"/>
        <v/>
      </c>
      <c r="H49" s="463" t="str">
        <f t="shared" si="28"/>
        <v/>
      </c>
      <c r="I49" s="463" t="str">
        <f t="shared" si="28"/>
        <v/>
      </c>
      <c r="J49" s="463" t="str">
        <f t="shared" si="28"/>
        <v/>
      </c>
      <c r="K49" s="463" t="str">
        <f t="shared" si="28"/>
        <v/>
      </c>
      <c r="L49" s="463" t="str">
        <f t="shared" si="28"/>
        <v/>
      </c>
      <c r="M49" s="463" t="str">
        <f t="shared" si="28"/>
        <v/>
      </c>
      <c r="N49" s="6"/>
    </row>
    <row r="50" spans="1:14" ht="15.75" customHeight="1">
      <c r="A50" s="9"/>
      <c r="B50" s="139" t="s">
        <v>348</v>
      </c>
      <c r="C50" s="464">
        <f>(C29+C21+C22)/C29</f>
        <v>1.5052522151333307</v>
      </c>
      <c r="D50" s="464">
        <f>IF(D29="","",(D29+D21+D22)/D29)</f>
        <v>1.4287990609249623</v>
      </c>
      <c r="E50" s="464">
        <f t="shared" ref="E50:M50" si="29">IF(E29="","",(E29+E21+E22)/E29)</f>
        <v>1.8304322853163559</v>
      </c>
      <c r="F50" s="464">
        <f t="shared" si="29"/>
        <v>1.7484827235522311</v>
      </c>
      <c r="G50" s="464" t="str">
        <f t="shared" si="29"/>
        <v/>
      </c>
      <c r="H50" s="464" t="str">
        <f t="shared" si="29"/>
        <v/>
      </c>
      <c r="I50" s="464" t="str">
        <f t="shared" si="29"/>
        <v/>
      </c>
      <c r="J50" s="464" t="str">
        <f t="shared" si="29"/>
        <v/>
      </c>
      <c r="K50" s="464" t="str">
        <f t="shared" si="29"/>
        <v/>
      </c>
      <c r="L50" s="464" t="str">
        <f t="shared" si="29"/>
        <v/>
      </c>
      <c r="M50" s="464" t="str">
        <f t="shared" si="29"/>
        <v/>
      </c>
      <c r="N50" s="6"/>
    </row>
    <row r="51" spans="1:14" ht="15.75" customHeight="1">
      <c r="A51" s="9"/>
      <c r="B51" s="139" t="s">
        <v>349</v>
      </c>
      <c r="C51" s="465">
        <f>C48*C49*C50</f>
        <v>9.7450068410410828E-3</v>
      </c>
      <c r="D51" s="465">
        <f>IF(D48="","",D48*D49*D50)</f>
        <v>6.2196816376070677E-2</v>
      </c>
      <c r="E51" s="465">
        <f t="shared" ref="E51:M51" si="30">IF(E48="","",E48*E49*E50)</f>
        <v>0.24636796835461963</v>
      </c>
      <c r="F51" s="465">
        <f t="shared" si="30"/>
        <v>7.7636484256320387E-2</v>
      </c>
      <c r="G51" s="465" t="str">
        <f t="shared" si="30"/>
        <v/>
      </c>
      <c r="H51" s="465" t="str">
        <f t="shared" si="30"/>
        <v/>
      </c>
      <c r="I51" s="465" t="str">
        <f t="shared" si="30"/>
        <v/>
      </c>
      <c r="J51" s="465" t="str">
        <f t="shared" si="30"/>
        <v/>
      </c>
      <c r="K51" s="465" t="str">
        <f t="shared" si="30"/>
        <v/>
      </c>
      <c r="L51" s="465" t="str">
        <f t="shared" si="30"/>
        <v/>
      </c>
      <c r="M51" s="465" t="str">
        <f t="shared" si="30"/>
        <v/>
      </c>
      <c r="N51" s="6"/>
    </row>
    <row r="52" spans="1:14" ht="15.75" customHeight="1">
      <c r="A52" s="9"/>
      <c r="B52" s="466" t="s">
        <v>350</v>
      </c>
      <c r="C52" s="467">
        <f>C35*C51</f>
        <v>-1.1305570581097987E-2</v>
      </c>
      <c r="D52" s="467">
        <f>IF(D35="","",D35*D51)</f>
        <v>2.2652146206233715E-3</v>
      </c>
      <c r="E52" s="467">
        <f t="shared" ref="E52:M52" si="31">IF(E35="","",E35*E51)</f>
        <v>-2.4973165582695741E-3</v>
      </c>
      <c r="F52" s="467" t="str">
        <f t="shared" si="31"/>
        <v/>
      </c>
      <c r="G52" s="467" t="str">
        <f t="shared" si="31"/>
        <v/>
      </c>
      <c r="H52" s="467" t="str">
        <f t="shared" si="31"/>
        <v/>
      </c>
      <c r="I52" s="467" t="str">
        <f t="shared" si="31"/>
        <v/>
      </c>
      <c r="J52" s="467" t="str">
        <f t="shared" si="31"/>
        <v/>
      </c>
      <c r="K52" s="467" t="str">
        <f t="shared" si="31"/>
        <v/>
      </c>
      <c r="L52" s="467" t="str">
        <f t="shared" si="31"/>
        <v/>
      </c>
      <c r="M52" s="467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0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1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795684.94303999934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8:H12 H13 G14:H16">
    <cfRule type="containsBlanks" dxfId="5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4" priority="1">
      <formula>LEN(TRIM(G8))=0</formula>
    </cfRule>
  </conditionalFormatting>
  <conditionalFormatting sqref="I8:J16">
    <cfRule type="containsBlanks" dxfId="3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27" sqref="C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1.973811082503208</v>
      </c>
      <c r="D27" s="117" t="str">
        <f>Dashboard!J4</f>
        <v>HKD</v>
      </c>
      <c r="E27" s="118">
        <f ca="1">(C27-G16)/C9</f>
        <v>3.9357699605799961</v>
      </c>
      <c r="F27" s="155">
        <f ca="1">C27/(Data!C28*Exchange_Rate*Data!C4/Common_Shares)</f>
        <v>0.80227432610358651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Analysis'!E64</f>
        <v>2.8069985315935737</v>
      </c>
      <c r="D31" s="334" t="str">
        <f>D30</f>
        <v>HKD</v>
      </c>
      <c r="E31" s="118">
        <f ca="1">(C31-G16)/C9</f>
        <v>52.7102910162195</v>
      </c>
      <c r="F31" s="155">
        <f ca="1">C31/(Asset_Model!I3*Exchange_Rate*Data!C4/Common_Shares)</f>
        <v>1.1409313055695294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1.5917055112922753</v>
      </c>
      <c r="D32" s="334" t="str">
        <f>D30</f>
        <v>HKD</v>
      </c>
      <c r="E32" s="118">
        <f ca="1">(C32-G16)/C9</f>
        <v>-18.432565338819678</v>
      </c>
      <c r="F32" s="155">
        <f ca="1">C32/(Asset_Model!I3*Exchange_Rate*Data!C4/Common_Shares)</f>
        <v>0.64696387498639918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2" priority="5">
      <formula>LEN(TRIM(E4))=0</formula>
    </cfRule>
  </conditionalFormatting>
  <conditionalFormatting sqref="E22:G23">
    <cfRule type="cellIs" dxfId="1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2023-07-27T06:16:42Z</dcterms:modified>
  <cp:category/>
  <cp:contentStatus/>
</cp:coreProperties>
</file>