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E2D39B3-7DEE-4028-A7AF-9FA0829576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H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/>
  <c r="D6" i="4"/>
  <c r="C6" i="4"/>
  <c r="E12" i="7"/>
  <c r="E11" i="7"/>
  <c r="C12" i="7"/>
  <c r="E5" i="7"/>
  <c r="E4" i="7"/>
  <c r="C8" i="7" l="1"/>
  <c r="C37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K16" i="2" s="1"/>
  <c r="K45" i="2" s="1"/>
  <c r="M12" i="2"/>
  <c r="M10" i="2"/>
  <c r="L10" i="2"/>
  <c r="K10" i="2"/>
  <c r="H10" i="2"/>
  <c r="G10" i="2"/>
  <c r="D10" i="2"/>
  <c r="L14" i="2"/>
  <c r="L13" i="2" s="1"/>
  <c r="J14" i="2"/>
  <c r="J16" i="2" s="1"/>
  <c r="J45" i="2" s="1"/>
  <c r="I10" i="2"/>
  <c r="H14" i="2"/>
  <c r="H13" i="2" s="1"/>
  <c r="G14" i="2"/>
  <c r="G16" i="2" s="1"/>
  <c r="G4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44" i="2"/>
  <c r="M13" i="2"/>
  <c r="M44" i="2"/>
  <c r="L16" i="2"/>
  <c r="L45" i="2" s="1"/>
  <c r="L15" i="2"/>
  <c r="M16" i="2"/>
  <c r="M45" i="2" s="1"/>
  <c r="C46" i="2"/>
  <c r="G12" i="2"/>
  <c r="D14" i="2"/>
  <c r="D16" i="2" s="1"/>
  <c r="H12" i="2"/>
  <c r="L12" i="2"/>
  <c r="F10" i="2"/>
  <c r="J10" i="2"/>
  <c r="J12" i="2"/>
  <c r="E14" i="2"/>
  <c r="E13" i="2" s="1"/>
  <c r="I14" i="2"/>
  <c r="I13" i="2" s="1"/>
  <c r="K12" i="2"/>
  <c r="C33" i="2"/>
  <c r="C34" i="2" s="1"/>
  <c r="C22" i="4"/>
  <c r="H17" i="2"/>
  <c r="K17" i="2"/>
  <c r="J17" i="2"/>
  <c r="G17" i="2"/>
  <c r="I12" i="2"/>
  <c r="L17" i="2"/>
  <c r="I17" i="2"/>
  <c r="L44" i="2" l="1"/>
  <c r="G15" i="2"/>
  <c r="I15" i="2"/>
  <c r="F15" i="2"/>
  <c r="K13" i="2"/>
  <c r="H44" i="2"/>
  <c r="I44" i="2"/>
  <c r="J13" i="2"/>
  <c r="H16" i="2"/>
  <c r="H45" i="2" s="1"/>
  <c r="I16" i="2"/>
  <c r="I45" i="2" s="1"/>
  <c r="G13" i="2"/>
  <c r="K15" i="2"/>
  <c r="H15" i="2"/>
  <c r="K44" i="2"/>
  <c r="J44" i="2"/>
  <c r="J15" i="2"/>
  <c r="D4" i="7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C38" i="1"/>
  <c r="D3" i="4"/>
  <c r="G3" i="7"/>
  <c r="E3" i="4" s="1"/>
  <c r="G4" i="4" s="1"/>
  <c r="B21" i="4" s="1"/>
  <c r="G2" i="4" s="1"/>
  <c r="E7" i="7"/>
  <c r="C18" i="7"/>
  <c r="C18" i="4"/>
  <c r="D18" i="4" s="1"/>
  <c r="D50" i="3"/>
  <c r="E25" i="3"/>
  <c r="D24" i="3"/>
  <c r="D49" i="3"/>
  <c r="F17" i="2"/>
  <c r="F45" i="2"/>
  <c r="E45" i="2"/>
  <c r="E17" i="2"/>
  <c r="C4" i="4" l="1"/>
  <c r="C7" i="4" s="1"/>
  <c r="C17" i="7"/>
  <c r="E45" i="3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F18" i="4"/>
  <c r="E4" i="4"/>
  <c r="G17" i="7"/>
  <c r="D5" i="4"/>
  <c r="G16" i="4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11" i="4"/>
  <c r="D12" i="4" s="1"/>
  <c r="E8" i="4"/>
  <c r="G9" i="4" s="1"/>
  <c r="E6" i="3"/>
  <c r="E17" i="4"/>
  <c r="F16" i="1"/>
  <c r="H16" i="1" s="1"/>
  <c r="E5" i="4"/>
  <c r="E10" i="4"/>
  <c r="F41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7" i="1" s="1"/>
  <c r="E47" i="1" s="1"/>
  <c r="E52" i="1" s="1"/>
  <c r="F27" i="4"/>
  <c r="F30" i="4"/>
  <c r="E30" i="4"/>
  <c r="F31" i="4" l="1"/>
  <c r="F32" i="4"/>
  <c r="D18" i="1"/>
  <c r="F47" i="1"/>
  <c r="F50" i="1" s="1"/>
  <c r="I38" i="1"/>
  <c r="B17" i="1" s="1"/>
  <c r="H17" i="1" s="1"/>
  <c r="D16" i="1"/>
  <c r="E31" i="4"/>
  <c r="E50" i="1"/>
  <c r="E48" i="1" l="1"/>
  <c r="E51" i="1" s="1"/>
  <c r="E53" i="1" s="1"/>
  <c r="D17" i="1"/>
  <c r="F52" i="1"/>
  <c r="J17" i="1"/>
  <c r="F48" i="1"/>
  <c r="F51" i="1" s="1"/>
  <c r="F53" i="1" l="1"/>
</calcChain>
</file>

<file path=xl/sharedStrings.xml><?xml version="1.0" encoding="utf-8"?>
<sst xmlns="http://schemas.openxmlformats.org/spreadsheetml/2006/main" count="422" uniqueCount="354">
  <si>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</si>
  <si>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</si>
  <si>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</si>
  <si>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</si>
  <si>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</si>
  <si>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</si>
  <si>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</si>
  <si>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</si>
  <si>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</si>
  <si>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</si>
  <si>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</si>
  <si>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</si>
  <si>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</si>
  <si>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</si>
  <si>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</si>
  <si>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</si>
  <si>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</si>
  <si>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</si>
  <si>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</si>
  <si>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</si>
  <si>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</si>
  <si>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</si>
  <si>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</si>
  <si>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</si>
  <si>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</si>
  <si>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</si>
  <si>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</si>
  <si>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</si>
  <si>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</si>
  <si>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</si>
  <si>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</si>
  <si>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</si>
  <si>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</si>
  <si>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</si>
  <si>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</si>
  <si>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</si>
  <si>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</si>
  <si>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</si>
  <si>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</si>
  <si>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</si>
  <si>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</si>
  <si>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</si>
  <si>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</si>
  <si>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</si>
  <si>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</si>
  <si>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</si>
  <si>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</si>
  <si>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</si>
  <si>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</si>
  <si>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</si>
  <si>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</si>
  <si>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</si>
  <si>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</si>
  <si>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</si>
  <si>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</si>
  <si>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</si>
  <si>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</si>
  <si>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</si>
  <si>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</si>
  <si>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</si>
  <si>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</si>
  <si>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</si>
  <si>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</si>
  <si>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</si>
  <si>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</si>
  <si>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</si>
  <si>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</si>
  <si>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</si>
  <si>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</si>
  <si>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</si>
  <si>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</si>
  <si>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</si>
  <si>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</si>
  <si>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</si>
  <si>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</si>
  <si>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</si>
  <si>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</si>
  <si>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</si>
  <si>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</si>
  <si>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</si>
  <si>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</si>
  <si>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</si>
  <si>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</si>
  <si>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</si>
  <si>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</si>
  <si>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</si>
  <si>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</si>
  <si>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</si>
  <si>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</si>
  <si>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</si>
  <si>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</si>
  <si>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</si>
  <si>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</si>
  <si>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</si>
  <si>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</si>
  <si>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</si>
  <si>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</si>
  <si>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</si>
  <si>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</si>
  <si>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</si>
  <si>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</si>
  <si>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</si>
  <si>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</si>
  <si>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</si>
  <si>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</si>
  <si>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</si>
  <si>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</si>
  <si>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</si>
  <si>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</si>
  <si>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</si>
  <si>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</si>
  <si>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</si>
  <si>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</si>
  <si>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</si>
  <si>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</si>
  <si>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</si>
  <si>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</si>
  <si>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</si>
  <si>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</si>
  <si>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</si>
  <si>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</si>
  <si>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</si>
  <si>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</si>
  <si>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</si>
  <si>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</si>
  <si>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</si>
  <si>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</si>
  <si>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</si>
  <si>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</si>
  <si>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</si>
  <si>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</si>
  <si>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</si>
  <si>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</si>
  <si>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</si>
  <si>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</si>
  <si>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</si>
  <si>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</si>
  <si>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</si>
  <si>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</si>
  <si>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</si>
  <si>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</si>
  <si>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</si>
  <si>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</si>
  <si>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</si>
  <si>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</si>
  <si>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</si>
  <si>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</si>
  <si>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</si>
  <si>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</si>
  <si>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</si>
  <si>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</si>
  <si>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</si>
  <si>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</si>
  <si>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</si>
  <si>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</si>
  <si>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</si>
  <si>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</si>
  <si>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</si>
  <si>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</si>
  <si>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</si>
  <si>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</si>
  <si>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</si>
  <si>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</si>
  <si>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</si>
  <si>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</si>
  <si>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</si>
  <si>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</si>
  <si>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</si>
  <si>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</si>
  <si>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</si>
  <si>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</si>
  <si>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</si>
  <si>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</si>
  <si>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</si>
  <si>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</si>
  <si>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</si>
  <si>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</si>
  <si>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</si>
  <si>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</si>
  <si>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</si>
  <si>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</si>
  <si>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</si>
  <si>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</si>
  <si>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</si>
  <si>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</si>
  <si>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</si>
  <si>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</si>
  <si>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</si>
  <si>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</si>
  <si>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</si>
  <si>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</si>
  <si>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</si>
  <si>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</si>
  <si>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</si>
  <si>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</si>
  <si>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</si>
  <si>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</si>
  <si>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</si>
  <si>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</si>
  <si>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</si>
  <si>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</si>
  <si>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</si>
  <si>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</si>
  <si>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</si>
  <si>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</si>
  <si>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</si>
  <si>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</si>
  <si>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</si>
  <si>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</si>
  <si>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</si>
  <si>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</si>
  <si>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</si>
  <si>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</si>
  <si>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</si>
  <si>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</si>
  <si>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</si>
  <si>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</si>
  <si>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</si>
  <si>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</si>
  <si>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</si>
  <si>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</si>
  <si>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</si>
  <si>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</si>
  <si>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</si>
  <si>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</si>
  <si>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</si>
  <si>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</si>
  <si>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</si>
  <si>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</si>
  <si>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</si>
  <si>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</si>
  <si>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</si>
  <si>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</si>
  <si>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</si>
  <si>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</si>
  <si>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</si>
  <si>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</si>
  <si>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</si>
  <si>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</si>
  <si>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</si>
  <si>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</si>
  <si>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</si>
  <si>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</si>
  <si>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</si>
  <si>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</si>
  <si>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</si>
  <si>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</si>
  <si>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</si>
  <si>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</si>
  <si>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</si>
  <si>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</si>
  <si>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</si>
  <si>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</si>
  <si>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</si>
  <si>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</si>
  <si>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</si>
  <si>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</si>
  <si>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</si>
  <si>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</si>
  <si>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</si>
  <si>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</si>
  <si>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</si>
  <si>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</si>
  <si>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</si>
  <si>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</si>
  <si>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</si>
  <si>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</si>
  <si>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</si>
  <si>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</si>
  <si>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</si>
  <si>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</si>
  <si>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</si>
  <si>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</si>
  <si>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</si>
  <si>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</si>
  <si>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</si>
  <si>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</si>
  <si>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</si>
  <si>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</si>
  <si>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</si>
  <si>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</si>
  <si>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</si>
  <si>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</si>
  <si>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</si>
  <si>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</si>
  <si>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</si>
  <si>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</si>
  <si>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</si>
  <si>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</si>
  <si>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</si>
  <si>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</si>
  <si>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</si>
  <si>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</si>
  <si>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</si>
  <si>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</si>
  <si>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</si>
  <si>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</si>
  <si>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</si>
  <si>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</si>
  <si>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</si>
  <si>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</si>
  <si>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</si>
  <si>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</si>
  <si>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</si>
  <si>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</si>
  <si>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</si>
  <si>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</si>
  <si>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</si>
  <si>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</si>
  <si>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</si>
  <si>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</si>
  <si>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</si>
  <si>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</si>
  <si>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</si>
  <si>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</si>
  <si>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</si>
  <si>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</si>
  <si>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</si>
  <si>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</si>
  <si>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</si>
  <si>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</si>
  <si>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</si>
  <si>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</si>
  <si>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</si>
  <si>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</si>
  <si>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</si>
  <si>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</si>
  <si>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</si>
  <si>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</si>
  <si>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</si>
  <si>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</si>
  <si>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</si>
  <si>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</si>
  <si>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</si>
  <si>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</si>
  <si>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</si>
  <si>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</si>
  <si>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</si>
  <si>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</si>
  <si>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</si>
  <si>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</si>
  <si>
    <t>What Went Wrong?</t>
  </si>
  <si>
    <t>Can it be Fixed?</t>
  </si>
  <si>
    <t>1. 借了4个亿给建业地产，没有提前公告。很高的财务风险，而且感觉管理层不诚实
2. 轻资产业务说到底依赖母公司的总资产项目，未来第三方的新业务增长不确定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</si>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</sst>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E59" sqref="E5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328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329</v>
      </c>
      <c r="D4" s="414"/>
      <c r="E4" s="6"/>
      <c r="G4" s="5" t="s">
        <v>5</v>
      </c>
      <c r="I4" s="32">
        <v>0.35</v>
      </c>
      <c r="J4" s="33" t="s">
        <v>6</v>
      </c>
      <c r="K4" s="149"/>
    </row>
    <row r="5" spans="1:12" ht="15.75" customHeight="1">
      <c r="B5" s="5" t="s">
        <v>7</v>
      </c>
      <c r="C5" s="415">
        <v>45058</v>
      </c>
      <c r="D5" s="414"/>
      <c r="E5" s="120" t="str">
        <f ca="1">IF(C5+30&gt;=TODAY(),"Patience Premium","")</f>
        <v/>
      </c>
      <c r="G5" s="5" t="s">
        <v>8</v>
      </c>
      <c r="I5" s="383">
        <v>3625799936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1269.0299775999999</v>
      </c>
      <c r="J6" s="424"/>
      <c r="K6" s="148"/>
    </row>
    <row r="7" spans="1:12" ht="15.75" customHeight="1">
      <c r="B7" s="136" t="s">
        <v>10</v>
      </c>
      <c r="C7" s="142">
        <f>(Data!C39*Exchange_Rate)/I4</f>
        <v>0.37626462769388969</v>
      </c>
      <c r="D7" s="142">
        <f>(Data!C40*Exchange_Rate)/I4</f>
        <v>5.4772915362618019E-3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3.8550575288612374</v>
      </c>
      <c r="J9" s="48">
        <f>IF(I9="NNI","NNI",1/I9)</f>
        <v>0.2593995011782339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0.5371699769213597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322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1.0847139755884807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0.17682252138431648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0.35</v>
      </c>
      <c r="C16" s="404">
        <v>0.25</v>
      </c>
      <c r="D16" s="156">
        <f ca="1">I37/B16-(1+J27)</f>
        <v>-0.48306116833847612</v>
      </c>
      <c r="E16" s="395" t="s">
        <v>23</v>
      </c>
      <c r="F16" s="425">
        <f>('FCFF Model'!G16)*Exchange_Rate</f>
        <v>0.28005419831932299</v>
      </c>
      <c r="G16" s="395" t="s">
        <v>24</v>
      </c>
      <c r="H16" s="355">
        <f>B16-$F$16</f>
        <v>6.9945801680676989E-2</v>
      </c>
      <c r="I16" s="390">
        <v>2.7E-2</v>
      </c>
      <c r="J16" s="158">
        <f>I16/B16</f>
        <v>7.7142857142857152E-2</v>
      </c>
    </row>
    <row r="17" spans="1:10" ht="15.75" customHeight="1">
      <c r="B17" s="269">
        <f ca="1">(I37+I38)/2</f>
        <v>0.19619330409449326</v>
      </c>
      <c r="C17" s="405"/>
      <c r="D17" s="268">
        <f ca="1">I37/B17-(1+J27)</f>
        <v>7.8986519135626043E-2</v>
      </c>
      <c r="E17" s="396"/>
      <c r="F17" s="426"/>
      <c r="G17" s="396"/>
      <c r="H17" s="356">
        <f ca="1">B17-$F$16</f>
        <v>-8.386089422482973E-2</v>
      </c>
      <c r="I17" s="391"/>
      <c r="J17" s="159">
        <f ca="1">I16/B17</f>
        <v>0.13761937556745513</v>
      </c>
    </row>
    <row r="18" spans="1:10" ht="15.75" customHeight="1">
      <c r="B18" s="323">
        <f>C37</f>
        <v>0.19</v>
      </c>
      <c r="C18" s="406"/>
      <c r="D18" s="157">
        <f ca="1">I37/B18-(1+J27)</f>
        <v>0.12067679516596486</v>
      </c>
      <c r="E18" s="397"/>
      <c r="F18" s="427"/>
      <c r="G18" s="397"/>
      <c r="H18" s="357">
        <f>B18-$F$16</f>
        <v>-9.0054198319322987E-2</v>
      </c>
      <c r="I18" s="392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336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337</v>
      </c>
      <c r="D22" s="364"/>
      <c r="E22" s="364"/>
      <c r="F22" s="364"/>
      <c r="G22" s="380" t="s">
        <v>338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339</v>
      </c>
      <c r="D23" s="394"/>
      <c r="E23" s="394"/>
      <c r="F23" s="394"/>
      <c r="G23" s="393" t="s">
        <v>340</v>
      </c>
      <c r="H23" s="393"/>
      <c r="I23" s="394"/>
      <c r="J23" s="394"/>
    </row>
    <row r="24" spans="1:10" ht="52.5" customHeight="1">
      <c r="A24" s="6"/>
      <c r="B24" s="24" t="s">
        <v>341</v>
      </c>
      <c r="C24" s="453" t="s">
        <v>343</v>
      </c>
      <c r="D24" s="454"/>
      <c r="E24" s="454"/>
      <c r="F24" s="454"/>
      <c r="G24" s="454"/>
      <c r="H24" s="454"/>
      <c r="I24" s="454"/>
      <c r="J24" s="455"/>
    </row>
    <row r="25" spans="1:10" ht="52.5" customHeight="1">
      <c r="A25" s="6"/>
      <c r="B25" s="456" t="s">
        <v>342</v>
      </c>
      <c r="C25" s="457"/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327</v>
      </c>
      <c r="I27" s="30"/>
      <c r="J27" s="359">
        <v>0.2</v>
      </c>
    </row>
    <row r="28" spans="1:10" ht="15.75" customHeight="1">
      <c r="B28" s="23" t="s">
        <v>31</v>
      </c>
      <c r="C28" s="416"/>
      <c r="D28" s="417"/>
      <c r="E28" s="401" t="str">
        <f>IF(C28="","","Action_Planning")</f>
        <v/>
      </c>
      <c r="F28" s="402"/>
      <c r="G28" s="402"/>
      <c r="H28" s="403"/>
      <c r="I28" s="428" t="s">
        <v>32</v>
      </c>
      <c r="J28" s="428"/>
    </row>
    <row r="29" spans="1:10" ht="15.75" customHeight="1">
      <c r="B29" s="23" t="s">
        <v>33</v>
      </c>
      <c r="C29" s="389">
        <f>C33/D27</f>
        <v>0.2878787878787879</v>
      </c>
      <c r="D29" s="375"/>
      <c r="E29" s="388">
        <f>E33/D27</f>
        <v>0</v>
      </c>
      <c r="F29" s="375"/>
      <c r="G29" s="399">
        <f>G33/D27</f>
        <v>0</v>
      </c>
      <c r="H29" s="400"/>
      <c r="I29" s="398">
        <f>C29+E29+G29</f>
        <v>0.2878787878787879</v>
      </c>
      <c r="J29" s="398"/>
    </row>
    <row r="30" spans="1:10" ht="15.75" customHeight="1">
      <c r="B30" s="23" t="s">
        <v>34</v>
      </c>
      <c r="C30" s="363">
        <v>1000000</v>
      </c>
      <c r="D30" s="364"/>
      <c r="E30" s="363">
        <v>0</v>
      </c>
      <c r="F30" s="364"/>
      <c r="G30" s="383"/>
      <c r="H30" s="384"/>
      <c r="I30" s="377">
        <f>C30+E30+G30</f>
        <v>1000000</v>
      </c>
      <c r="J30" s="377"/>
    </row>
    <row r="31" spans="1:10" ht="15.75" customHeight="1">
      <c r="B31" s="23" t="s">
        <v>35</v>
      </c>
      <c r="C31" s="365">
        <v>0.19</v>
      </c>
      <c r="D31" s="364"/>
      <c r="E31" s="365">
        <v>0.19</v>
      </c>
      <c r="F31" s="364"/>
      <c r="G31" s="386"/>
      <c r="H31" s="387"/>
      <c r="I31" s="385"/>
      <c r="J31" s="385"/>
    </row>
    <row r="32" spans="1:10" ht="15.75" customHeight="1">
      <c r="B32" s="23" t="s">
        <v>36</v>
      </c>
      <c r="C32" s="361">
        <f>C31*$I$5/1000000</f>
        <v>688.90198784000006</v>
      </c>
      <c r="D32" s="362"/>
      <c r="E32" s="361">
        <f>E31*$I$5/1000000</f>
        <v>688.90198784000006</v>
      </c>
      <c r="F32" s="362"/>
      <c r="G32" s="407">
        <f>G31*$I$5/1000000</f>
        <v>0</v>
      </c>
      <c r="H32" s="408"/>
      <c r="I32" s="376"/>
      <c r="J32" s="376"/>
    </row>
    <row r="33" spans="2:11" ht="15.75" customHeight="1">
      <c r="B33" s="2" t="s">
        <v>37</v>
      </c>
      <c r="C33" s="370">
        <f>C30*C31</f>
        <v>190000</v>
      </c>
      <c r="D33" s="371"/>
      <c r="E33" s="372">
        <f>E30*E31</f>
        <v>0</v>
      </c>
      <c r="F33" s="373"/>
      <c r="G33" s="409">
        <f>G30*G31</f>
        <v>0</v>
      </c>
      <c r="H33" s="410"/>
      <c r="I33" s="372">
        <f>C33+E33+G33</f>
        <v>190000</v>
      </c>
      <c r="J33" s="372"/>
    </row>
    <row r="34" spans="2:11" ht="15.75" customHeight="1">
      <c r="B34" s="1" t="s">
        <v>38</v>
      </c>
      <c r="C34" s="366"/>
      <c r="D34" s="367"/>
      <c r="E34" s="374">
        <f>IF(C33=0,"-",(C33+E33)/(C30+E30))</f>
        <v>0.19</v>
      </c>
      <c r="F34" s="375"/>
      <c r="G34" s="115"/>
      <c r="H34" s="115"/>
      <c r="I34" s="374">
        <f>IF(I33=0,"",I33/I30)</f>
        <v>0.19</v>
      </c>
      <c r="J34" s="374"/>
    </row>
    <row r="35" spans="2:11" ht="15.75" customHeight="1">
      <c r="B35" s="1" t="s">
        <v>39</v>
      </c>
      <c r="C35" s="368"/>
      <c r="D35" s="369"/>
      <c r="E35" s="361">
        <f>IF(E34="-","-",E34*$I$5/1000000)</f>
        <v>688.90198784000006</v>
      </c>
      <c r="F35" s="362"/>
      <c r="G35" s="116"/>
      <c r="H35" s="116"/>
      <c r="I35" s="361">
        <f>IF(I34="","",I34*$I$5/1000000)</f>
        <v>688.90198784000006</v>
      </c>
      <c r="J35" s="361"/>
    </row>
    <row r="36" spans="2:11" ht="15.75" customHeight="1"/>
    <row r="37" spans="2:11" ht="15.75" customHeight="1">
      <c r="B37" s="143" t="s">
        <v>286</v>
      </c>
      <c r="C37" s="434">
        <f>E31</f>
        <v>0.19</v>
      </c>
      <c r="D37" s="435"/>
      <c r="G37" s="436" t="s">
        <v>316</v>
      </c>
      <c r="H37" s="437"/>
      <c r="I37" s="432">
        <f ca="1">'FCFF Model'!C31</f>
        <v>0.25092859108153331</v>
      </c>
      <c r="J37" s="433"/>
    </row>
    <row r="38" spans="2:11" ht="15.75" customHeight="1">
      <c r="B38" s="143" t="s">
        <v>317</v>
      </c>
      <c r="C38" s="434">
        <f>E34</f>
        <v>0.19</v>
      </c>
      <c r="D38" s="435"/>
      <c r="G38" s="431" t="s">
        <v>314</v>
      </c>
      <c r="H38" s="431"/>
      <c r="I38" s="432">
        <f ca="1">'FCFF Model'!C32</f>
        <v>0.14145801710745318</v>
      </c>
      <c r="J38" s="433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0.18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0.8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0.36766156462585037</v>
      </c>
      <c r="G43" s="331"/>
      <c r="H43" s="114"/>
      <c r="I43" s="114"/>
      <c r="J43" s="114"/>
    </row>
    <row r="44" spans="2:11" ht="15.75" customHeight="1">
      <c r="B44" s="3" t="s">
        <v>321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318</v>
      </c>
      <c r="F46" s="258" t="s">
        <v>319</v>
      </c>
    </row>
    <row r="47" spans="2:11" ht="15.75" customHeight="1">
      <c r="B47" s="3" t="s">
        <v>299</v>
      </c>
      <c r="E47" s="329">
        <f ca="1">I37/C31-1</f>
        <v>0.32067679516596481</v>
      </c>
      <c r="F47" s="332">
        <f ca="1">I37/C38-1</f>
        <v>0.32067679516596481</v>
      </c>
    </row>
    <row r="48" spans="2:11" ht="15.75" customHeight="1">
      <c r="B48" s="3" t="s">
        <v>300</v>
      </c>
      <c r="E48" s="329">
        <f ca="1">I38/C31-1</f>
        <v>-0.25548412048708857</v>
      </c>
      <c r="F48" s="332">
        <f ca="1">I38/C38-1</f>
        <v>-0.25548412048708857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0.69020910809113489</v>
      </c>
      <c r="F50" s="329">
        <f ca="1">IF(F47&lt;=0,0,AVERAGE(F41:F43,1-F44,F47/J27))</f>
        <v>0.69020910809113489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1.2551730986434082</v>
      </c>
      <c r="F51" s="328">
        <f ca="1">IF(F48&gt;=0,100,F47/ABS(F48))</f>
        <v>1.2551730986434082</v>
      </c>
      <c r="G51" s="73"/>
    </row>
    <row r="52" spans="2:9" ht="15.75" customHeight="1">
      <c r="B52" s="3" t="s">
        <v>326</v>
      </c>
      <c r="E52" s="358">
        <f ca="1">MAX(J27*2/E47,1)</f>
        <v>1.247361848533449</v>
      </c>
      <c r="F52" s="358">
        <f ca="1">MAX(J27*2/F47,1)</f>
        <v>1.247361848533449</v>
      </c>
      <c r="G52" s="330"/>
      <c r="H52" s="84"/>
      <c r="I52" s="84"/>
    </row>
    <row r="53" spans="2:9" ht="15.75" customHeight="1">
      <c r="B53" s="3" t="s">
        <v>325</v>
      </c>
      <c r="E53" s="327">
        <f ca="1">MIN(MAX(E50-ABS((1-E50)/E51),0)/E52,H53)</f>
        <v>0.35546847805694248</v>
      </c>
      <c r="F53" s="327">
        <f ca="1">MIN(MAX(F50-ABS((1-F50)/F51),0)/F52,H53)</f>
        <v>0.35546847805694248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308</v>
      </c>
    </row>
    <row r="56" spans="2:9" ht="15.75" customHeight="1">
      <c r="B56" s="460" t="s">
        <v>309</v>
      </c>
    </row>
    <row r="57" spans="2:9" ht="15.75" customHeight="1">
      <c r="B57" s="3" t="s">
        <v>344</v>
      </c>
    </row>
    <row r="58" spans="2:9" ht="15.75" customHeight="1">
      <c r="B58" s="3" t="s">
        <v>345</v>
      </c>
    </row>
    <row r="59" spans="2:9" ht="15.75" customHeight="1"/>
    <row r="60" spans="2:9" ht="15.75" customHeight="1">
      <c r="B60" s="460" t="s">
        <v>310</v>
      </c>
    </row>
    <row r="61" spans="2:9" ht="15.75" customHeight="1">
      <c r="B61" s="3" t="s">
        <v>346</v>
      </c>
    </row>
    <row r="62" spans="2:9" ht="15.75" customHeight="1">
      <c r="B62" s="3" t="s">
        <v>347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2:J32"/>
    <mergeCell ref="I35:J35"/>
    <mergeCell ref="I33:J33"/>
    <mergeCell ref="I30:J30"/>
    <mergeCell ref="I34:J34"/>
    <mergeCell ref="C34:D34"/>
    <mergeCell ref="C35:D35"/>
    <mergeCell ref="E35:F35"/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abSelected="1" topLeftCell="A40" zoomScaleNormal="100" workbookViewId="0">
      <selection activeCell="F52" sqref="F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-147408.57699999999</v>
      </c>
      <c r="D34" s="140">
        <f>IF(E7="","",D30-E30+D33+IF($C$55="Yes",D57,0))</f>
        <v>25758.3367</v>
      </c>
      <c r="E34" s="140">
        <f t="shared" ref="E34:F34" si="11">IF(F7="","",E30-F30+E33+IF($C$55="Yes",E57,0))</f>
        <v>24602.708699999999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2" t="s">
        <v>348</v>
      </c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6"/>
    </row>
    <row r="48" spans="1:14" ht="15.75" customHeight="1">
      <c r="A48" s="9"/>
      <c r="B48" s="165" t="s">
        <v>349</v>
      </c>
      <c r="C48" s="463">
        <f>C13</f>
        <v>1</v>
      </c>
      <c r="D48" s="463">
        <f>D13</f>
        <v>0.98485457363292761</v>
      </c>
      <c r="E48" s="463">
        <f t="shared" ref="E48:M48" si="27">E13</f>
        <v>0.95883452740343134</v>
      </c>
      <c r="F48" s="463">
        <f t="shared" si="27"/>
        <v>0.97471707831427756</v>
      </c>
      <c r="G48" s="463" t="str">
        <f t="shared" si="27"/>
        <v/>
      </c>
      <c r="H48" s="463" t="str">
        <f t="shared" si="27"/>
        <v/>
      </c>
      <c r="I48" s="463" t="str">
        <f t="shared" si="27"/>
        <v/>
      </c>
      <c r="J48" s="463" t="str">
        <f t="shared" si="27"/>
        <v/>
      </c>
      <c r="K48" s="463" t="str">
        <f t="shared" si="27"/>
        <v/>
      </c>
      <c r="L48" s="463" t="str">
        <f t="shared" si="27"/>
        <v/>
      </c>
      <c r="M48" s="463" t="str">
        <f t="shared" si="27"/>
        <v/>
      </c>
      <c r="N48" s="6"/>
    </row>
    <row r="49" spans="1:14" ht="15.75" customHeight="1">
      <c r="A49" s="9"/>
      <c r="B49" s="139" t="s">
        <v>350</v>
      </c>
      <c r="C49" s="464">
        <f>C7/(C29+C21+C22)</f>
        <v>0.11334734145699707</v>
      </c>
      <c r="D49" s="464">
        <f>IF(D7="","",D7/(D29+D21+D22))</f>
        <v>0.22681712647079635</v>
      </c>
      <c r="E49" s="464">
        <f t="shared" ref="E49:M49" si="28">IF(E7="","",E7/(E29+E21+E22))</f>
        <v>0.34805892411526212</v>
      </c>
      <c r="F49" s="464">
        <f t="shared" si="28"/>
        <v>0.37877084031952363</v>
      </c>
      <c r="G49" s="464" t="str">
        <f t="shared" si="28"/>
        <v/>
      </c>
      <c r="H49" s="464" t="str">
        <f t="shared" si="28"/>
        <v/>
      </c>
      <c r="I49" s="464" t="str">
        <f t="shared" si="28"/>
        <v/>
      </c>
      <c r="J49" s="464" t="str">
        <f t="shared" si="28"/>
        <v/>
      </c>
      <c r="K49" s="464" t="str">
        <f t="shared" si="28"/>
        <v/>
      </c>
      <c r="L49" s="464" t="str">
        <f t="shared" si="28"/>
        <v/>
      </c>
      <c r="M49" s="464" t="str">
        <f t="shared" si="28"/>
        <v/>
      </c>
      <c r="N49" s="6"/>
    </row>
    <row r="50" spans="1:14" ht="15.75" customHeight="1">
      <c r="A50" s="9"/>
      <c r="B50" s="139" t="s">
        <v>351</v>
      </c>
      <c r="C50" s="465">
        <f>(C29+C21+C22)/C29</f>
        <v>2.4535011375454272</v>
      </c>
      <c r="D50" s="465">
        <f>IF(D29="","",(D29+D21+D22)/D29)</f>
        <v>2.4736188416337268</v>
      </c>
      <c r="E50" s="465">
        <f t="shared" ref="E50:M50" si="29">IF(E29="","",(E29+E21+E22)/E29)</f>
        <v>3.2857318700168356</v>
      </c>
      <c r="F50" s="465">
        <f t="shared" si="29"/>
        <v>3.6380825223541007</v>
      </c>
      <c r="G50" s="465" t="str">
        <f t="shared" si="29"/>
        <v/>
      </c>
      <c r="H50" s="465" t="str">
        <f t="shared" si="29"/>
        <v/>
      </c>
      <c r="I50" s="465" t="str">
        <f t="shared" si="29"/>
        <v/>
      </c>
      <c r="J50" s="465" t="str">
        <f t="shared" si="29"/>
        <v/>
      </c>
      <c r="K50" s="465" t="str">
        <f t="shared" si="29"/>
        <v/>
      </c>
      <c r="L50" s="465" t="str">
        <f t="shared" si="29"/>
        <v/>
      </c>
      <c r="M50" s="465" t="str">
        <f t="shared" si="29"/>
        <v/>
      </c>
      <c r="N50" s="6"/>
    </row>
    <row r="51" spans="1:14" ht="15.75" customHeight="1">
      <c r="A51" s="9"/>
      <c r="B51" s="139" t="s">
        <v>352</v>
      </c>
      <c r="C51" s="466">
        <f>C48*C49*C50</f>
        <v>0.27809783120249226</v>
      </c>
      <c r="D51" s="466">
        <f>IF(D48="","",D48*D49*D50)</f>
        <v>0.5525616380895394</v>
      </c>
      <c r="E51" s="466">
        <f t="shared" ref="E51:M51" si="30">IF(E48="","",E48*E49*E50)</f>
        <v>1.0965503001810615</v>
      </c>
      <c r="F51" s="466">
        <f t="shared" si="30"/>
        <v>1.3431597188277973</v>
      </c>
      <c r="G51" s="466" t="str">
        <f t="shared" si="30"/>
        <v/>
      </c>
      <c r="H51" s="466" t="str">
        <f t="shared" si="30"/>
        <v/>
      </c>
      <c r="I51" s="466" t="str">
        <f t="shared" si="30"/>
        <v/>
      </c>
      <c r="J51" s="466" t="str">
        <f t="shared" si="30"/>
        <v/>
      </c>
      <c r="K51" s="466" t="str">
        <f t="shared" si="30"/>
        <v/>
      </c>
      <c r="L51" s="466" t="str">
        <f t="shared" si="30"/>
        <v/>
      </c>
      <c r="M51" s="466" t="str">
        <f t="shared" si="30"/>
        <v/>
      </c>
      <c r="N51" s="6"/>
    </row>
    <row r="52" spans="1:14" ht="15.75" customHeight="1">
      <c r="A52" s="9"/>
      <c r="B52" s="467" t="s">
        <v>353</v>
      </c>
      <c r="C52" s="468">
        <f>C35*C51</f>
        <v>-6.7682725609350139E-2</v>
      </c>
      <c r="D52" s="468">
        <f>IF(D35="","",D35*D51)</f>
        <v>1.1104507100057812E-2</v>
      </c>
      <c r="E52" s="468">
        <f t="shared" ref="E52:M52" si="31">IF(E35="","",E35*E51)</f>
        <v>2.4422179945840346E-2</v>
      </c>
      <c r="F52" s="468" t="str">
        <f t="shared" si="31"/>
        <v/>
      </c>
      <c r="G52" s="468" t="str">
        <f t="shared" si="31"/>
        <v/>
      </c>
      <c r="H52" s="468" t="str">
        <f t="shared" si="31"/>
        <v/>
      </c>
      <c r="I52" s="468" t="str">
        <f t="shared" si="31"/>
        <v/>
      </c>
      <c r="J52" s="468" t="str">
        <f t="shared" si="31"/>
        <v/>
      </c>
      <c r="K52" s="468" t="str">
        <f t="shared" si="31"/>
        <v/>
      </c>
      <c r="L52" s="468" t="str">
        <f t="shared" si="31"/>
        <v/>
      </c>
      <c r="M52" s="468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0.65156284795722874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0.13257752110083393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3098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3098</v>
      </c>
      <c r="E53" s="371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-299613.02240000013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0.94321249374668759</v>
      </c>
      <c r="E63" s="445"/>
    </row>
    <row r="64" spans="2:9" ht="15" customHeight="1">
      <c r="B64" s="3" t="s">
        <v>250</v>
      </c>
      <c r="D64" s="442">
        <v>0.2001</v>
      </c>
      <c r="E64" s="443"/>
      <c r="F64" s="250" t="s">
        <v>236</v>
      </c>
    </row>
    <row r="65" spans="2:5" ht="15" customHeight="1">
      <c r="B65" s="271" t="s">
        <v>252</v>
      </c>
      <c r="D65" s="442">
        <v>0.2001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330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331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7" priority="2">
      <formula>LEN(TRIM(E16))=0</formula>
    </cfRule>
  </conditionalFormatting>
  <conditionalFormatting sqref="G18 I18">
    <cfRule type="containsBlanks" dxfId="6" priority="4">
      <formula>LEN(TRIM(G18))=0</formula>
    </cfRule>
  </conditionalFormatting>
  <conditionalFormatting sqref="G7:H11 H12 G13:H15">
    <cfRule type="containsBlanks" dxfId="5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4" priority="1">
      <formula>LEN(TRIM(G7))=0</formula>
    </cfRule>
  </conditionalFormatting>
  <conditionalFormatting sqref="I7:J15">
    <cfRule type="containsBlanks" dxfId="3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0.17682252138431648</v>
      </c>
      <c r="D27" s="117" t="str">
        <f>Dashboard!J4</f>
        <v>HKD</v>
      </c>
      <c r="E27" s="118">
        <f ca="1">(C27-G16)/C9</f>
        <v>-1.2137877602589811</v>
      </c>
      <c r="F27" s="155">
        <f ca="1">C27/(Data!C28*Exchange_Rate*Data!C4/Common_Shares)</f>
        <v>0.2713821420891141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0.58073151257410416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0.25092859108153331</v>
      </c>
      <c r="D31" s="334" t="str">
        <f>D30</f>
        <v>HKD</v>
      </c>
      <c r="E31" s="118">
        <f ca="1">(C31-G16)/C9</f>
        <v>-0.10821953185510254</v>
      </c>
      <c r="F31" s="155">
        <f ca="1">C31/(Asset_Model!I3*Exchange_Rate*Data!C4/Common_Shares)</f>
        <v>0.38511801565764736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0.14145801710745318</v>
      </c>
      <c r="D32" s="334" t="str">
        <f>D30</f>
        <v>HKD</v>
      </c>
      <c r="E32" s="118">
        <f ca="1">(C32-G16)/C9</f>
        <v>-1.7413811477034853</v>
      </c>
      <c r="F32" s="155">
        <f ca="1">C32/(Asset_Model!I3*Exchange_Rate*Data!C4/Common_Shares)</f>
        <v>0.21710571367129125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332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333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335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2023-07-27T06:31:18Z</dcterms:modified>
  <cp:category/>
  <cp:contentStatus/>
</cp:coreProperties>
</file>