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4AED0B43-8F8D-4597-9D42-477CB7F0098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" i="2" l="1"/>
  <c r="E9" i="2"/>
  <c r="D9" i="2"/>
  <c r="C9" i="2"/>
  <c r="F11" i="7" s="1"/>
  <c r="G4" i="7"/>
  <c r="G9" i="7"/>
  <c r="G8" i="7"/>
  <c r="G7" i="7"/>
  <c r="G6" i="7"/>
  <c r="G5" i="7"/>
  <c r="G15" i="7"/>
  <c r="G11" i="7"/>
  <c r="I25" i="3"/>
  <c r="F25" i="3"/>
  <c r="F26" i="3"/>
  <c r="F27" i="3"/>
  <c r="F24" i="3"/>
  <c r="I44" i="3"/>
  <c r="I24" i="3"/>
  <c r="C47" i="3"/>
  <c r="C45" i="3"/>
  <c r="C25" i="3"/>
  <c r="C27" i="3"/>
  <c r="C26" i="3"/>
  <c r="C44" i="3"/>
  <c r="C38" i="3"/>
  <c r="C46" i="3" s="1"/>
  <c r="L2" i="8"/>
  <c r="K2" i="8" s="1"/>
  <c r="J2" i="8" s="1"/>
  <c r="I2" i="8" s="1"/>
  <c r="H2" i="8" s="1"/>
  <c r="G2" i="8" s="1"/>
  <c r="F2" i="8" s="1"/>
  <c r="E2" i="8" s="1"/>
  <c r="D2" i="8" s="1"/>
  <c r="C2" i="8" s="1"/>
  <c r="G12" i="7" l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G48" i="2"/>
  <c r="H48" i="2"/>
  <c r="I48" i="2"/>
  <c r="J48" i="2"/>
  <c r="K48" i="2"/>
  <c r="L48" i="2"/>
  <c r="M48" i="2"/>
  <c r="E45" i="2"/>
  <c r="F45" i="2"/>
  <c r="G45" i="2"/>
  <c r="H45" i="2"/>
  <c r="I45" i="2"/>
  <c r="J45" i="2"/>
  <c r="K45" i="2"/>
  <c r="L45" i="2"/>
  <c r="M45" i="2"/>
  <c r="D45" i="2"/>
  <c r="C45" i="2"/>
  <c r="I104" i="8" l="1"/>
  <c r="J92" i="8"/>
  <c r="K92" i="8"/>
  <c r="L92" i="8"/>
  <c r="M92" i="8"/>
  <c r="L91" i="8"/>
  <c r="M91" i="8"/>
  <c r="J90" i="8"/>
  <c r="K90" i="8"/>
  <c r="L90" i="8"/>
  <c r="M90" i="8"/>
  <c r="J89" i="8"/>
  <c r="K89" i="8"/>
  <c r="L89" i="8"/>
  <c r="M89" i="8"/>
  <c r="J88" i="8"/>
  <c r="K88" i="8"/>
  <c r="L88" i="8"/>
  <c r="M88" i="8"/>
  <c r="M31" i="8"/>
  <c r="M56" i="8" s="1"/>
  <c r="M63" i="8" s="1"/>
  <c r="C31" i="8"/>
  <c r="C56" i="8" s="1"/>
  <c r="C63" i="8" s="1"/>
  <c r="D45" i="7"/>
  <c r="E45" i="7"/>
  <c r="F45" i="7"/>
  <c r="D46" i="7"/>
  <c r="E46" i="7"/>
  <c r="F46" i="7"/>
  <c r="D47" i="7"/>
  <c r="E47" i="7"/>
  <c r="F47" i="7"/>
  <c r="D44" i="7"/>
  <c r="E44" i="7"/>
  <c r="F44" i="7"/>
  <c r="C45" i="7"/>
  <c r="C46" i="7"/>
  <c r="C47" i="7"/>
  <c r="C44" i="7"/>
  <c r="B69" i="7"/>
  <c r="B65" i="7"/>
  <c r="B32" i="7"/>
  <c r="C66" i="7"/>
  <c r="D66" i="7"/>
  <c r="E66" i="7"/>
  <c r="F66" i="7"/>
  <c r="C11" i="7"/>
  <c r="C74" i="7" s="1"/>
  <c r="C76" i="7" s="1"/>
  <c r="D11" i="7"/>
  <c r="D74" i="7" s="1"/>
  <c r="D76" i="7" s="1"/>
  <c r="E11" i="7"/>
  <c r="E74" i="7" s="1"/>
  <c r="E76" i="7" s="1"/>
  <c r="F74" i="7"/>
  <c r="F76" i="7" s="1"/>
  <c r="C9" i="7"/>
  <c r="F9" i="7"/>
  <c r="E9" i="7"/>
  <c r="D9" i="7"/>
  <c r="C15" i="7"/>
  <c r="D15" i="7"/>
  <c r="E15" i="7"/>
  <c r="F15" i="7"/>
  <c r="I15" i="3"/>
  <c r="C37" i="1"/>
  <c r="B18" i="1" s="1"/>
  <c r="J20" i="1"/>
  <c r="F42" i="1"/>
  <c r="I22" i="7"/>
  <c r="F4" i="4"/>
  <c r="F5" i="4" s="1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3" i="7"/>
  <c r="D61" i="2"/>
  <c r="E61" i="2"/>
  <c r="B8" i="4"/>
  <c r="B12" i="4" s="1"/>
  <c r="J10" i="1"/>
  <c r="E5" i="1"/>
  <c r="F69" i="7" l="1"/>
  <c r="F70" i="7" s="1"/>
  <c r="E65" i="7"/>
  <c r="E69" i="7"/>
  <c r="E70" i="7" s="1"/>
  <c r="C10" i="7"/>
  <c r="C69" i="7"/>
  <c r="C70" i="7" s="1"/>
  <c r="I101" i="8"/>
  <c r="O101" i="8" s="1"/>
  <c r="M37" i="2"/>
  <c r="L37" i="2"/>
  <c r="K37" i="2"/>
  <c r="J37" i="2"/>
  <c r="I37" i="2"/>
  <c r="D69" i="7"/>
  <c r="D70" i="7" s="1"/>
  <c r="F31" i="8"/>
  <c r="F56" i="8" s="1"/>
  <c r="F63" i="8" s="1"/>
  <c r="J31" i="8"/>
  <c r="J56" i="8" s="1"/>
  <c r="J63" i="8" s="1"/>
  <c r="G31" i="8"/>
  <c r="G56" i="8" s="1"/>
  <c r="G63" i="8" s="1"/>
  <c r="E31" i="8"/>
  <c r="E56" i="8" s="1"/>
  <c r="E63" i="8" s="1"/>
  <c r="L31" i="8"/>
  <c r="L56" i="8" s="1"/>
  <c r="L63" i="8" s="1"/>
  <c r="D31" i="8"/>
  <c r="D56" i="8" s="1"/>
  <c r="D63" i="8" s="1"/>
  <c r="K31" i="8"/>
  <c r="K56" i="8" s="1"/>
  <c r="K63" i="8" s="1"/>
  <c r="I31" i="8"/>
  <c r="I56" i="8" s="1"/>
  <c r="I63" i="8" s="1"/>
  <c r="H31" i="8"/>
  <c r="H56" i="8" s="1"/>
  <c r="H63" i="8" s="1"/>
  <c r="E67" i="7"/>
  <c r="E32" i="7"/>
  <c r="C12" i="7"/>
  <c r="E14" i="7"/>
  <c r="C65" i="7"/>
  <c r="C67" i="7" s="1"/>
  <c r="D14" i="7"/>
  <c r="C14" i="7"/>
  <c r="E12" i="7"/>
  <c r="C13" i="7"/>
  <c r="C18" i="7" s="1"/>
  <c r="C16" i="7" s="1"/>
  <c r="D10" i="7"/>
  <c r="E13" i="7"/>
  <c r="E18" i="7" s="1"/>
  <c r="E16" i="7" s="1"/>
  <c r="C32" i="7"/>
  <c r="E10" i="7"/>
  <c r="D12" i="7"/>
  <c r="D32" i="7"/>
  <c r="D13" i="7"/>
  <c r="D18" i="7" s="1"/>
  <c r="F32" i="7"/>
  <c r="F65" i="7"/>
  <c r="F67" i="7" s="1"/>
  <c r="D65" i="7"/>
  <c r="D67" i="7" s="1"/>
  <c r="B6" i="4"/>
  <c r="B9" i="4"/>
  <c r="J27" i="1"/>
  <c r="C31" i="4"/>
  <c r="C35" i="4"/>
  <c r="G27" i="4"/>
  <c r="D16" i="7" l="1"/>
  <c r="D17" i="7"/>
  <c r="C36" i="7"/>
  <c r="C57" i="7" s="1"/>
  <c r="C33" i="7"/>
  <c r="C54" i="7" s="1"/>
  <c r="C34" i="7"/>
  <c r="C55" i="7" s="1"/>
  <c r="C35" i="7"/>
  <c r="C56" i="7" s="1"/>
  <c r="F34" i="7"/>
  <c r="F55" i="7" s="1"/>
  <c r="F35" i="7"/>
  <c r="F56" i="7" s="1"/>
  <c r="F36" i="7"/>
  <c r="F57" i="7" s="1"/>
  <c r="F33" i="7"/>
  <c r="F54" i="7" s="1"/>
  <c r="E33" i="7"/>
  <c r="E54" i="7" s="1"/>
  <c r="E34" i="7"/>
  <c r="E55" i="7" s="1"/>
  <c r="E35" i="7"/>
  <c r="E56" i="7" s="1"/>
  <c r="E36" i="7"/>
  <c r="E57" i="7" s="1"/>
  <c r="D36" i="7"/>
  <c r="D57" i="7" s="1"/>
  <c r="D35" i="7"/>
  <c r="D56" i="7" s="1"/>
  <c r="D33" i="7"/>
  <c r="D54" i="7" s="1"/>
  <c r="D34" i="7"/>
  <c r="D55" i="7" s="1"/>
  <c r="D53" i="7"/>
  <c r="C53" i="7"/>
  <c r="F53" i="7"/>
  <c r="E53" i="7"/>
  <c r="E17" i="7"/>
  <c r="G10" i="7"/>
  <c r="G22" i="7" s="1"/>
  <c r="B16" i="1" l="1"/>
  <c r="H22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45" i="3" s="1"/>
  <c r="E33" i="3"/>
  <c r="E34" i="3"/>
  <c r="E35" i="3"/>
  <c r="E36" i="3"/>
  <c r="E37" i="3"/>
  <c r="E38" i="3"/>
  <c r="E39" i="3"/>
  <c r="E40" i="3"/>
  <c r="E47" i="3" s="1"/>
  <c r="D47" i="3" s="1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5" i="1"/>
  <c r="G21" i="4"/>
  <c r="F21" i="4"/>
  <c r="C12" i="1"/>
  <c r="C11" i="1" s="1"/>
  <c r="D35" i="2"/>
  <c r="D36" i="2" s="1"/>
  <c r="D37" i="2" s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M35" i="2"/>
  <c r="L35" i="2"/>
  <c r="K35" i="2"/>
  <c r="J35" i="2"/>
  <c r="I35" i="2"/>
  <c r="H35" i="2"/>
  <c r="H36" i="2" s="1"/>
  <c r="G35" i="2"/>
  <c r="G36" i="2" s="1"/>
  <c r="F35" i="2"/>
  <c r="F36" i="2" s="1"/>
  <c r="C8" i="2"/>
  <c r="F10" i="7" s="1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J14" i="2"/>
  <c r="I10" i="2"/>
  <c r="H14" i="2"/>
  <c r="G14" i="2"/>
  <c r="G16" i="2" s="1"/>
  <c r="F14" i="2"/>
  <c r="F48" i="2" s="1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5" i="2"/>
  <c r="E36" i="2" s="1"/>
  <c r="E37" i="2" s="1"/>
  <c r="C49" i="2"/>
  <c r="D14" i="2"/>
  <c r="D48" i="2" s="1"/>
  <c r="L12" i="2"/>
  <c r="F10" i="2"/>
  <c r="J10" i="2"/>
  <c r="J12" i="2"/>
  <c r="E14" i="2"/>
  <c r="E48" i="2" s="1"/>
  <c r="I14" i="2"/>
  <c r="K12" i="2"/>
  <c r="C35" i="2"/>
  <c r="K17" i="2"/>
  <c r="J17" i="2"/>
  <c r="L17" i="2"/>
  <c r="E46" i="3" l="1"/>
  <c r="D46" i="3" s="1"/>
  <c r="E25" i="3"/>
  <c r="E27" i="3"/>
  <c r="D27" i="3" s="1"/>
  <c r="E26" i="3"/>
  <c r="D26" i="3" s="1"/>
  <c r="I8" i="3"/>
  <c r="C28" i="3"/>
  <c r="C61" i="3"/>
  <c r="D66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F28" i="7"/>
  <c r="H16" i="2"/>
  <c r="L15" i="2"/>
  <c r="M16" i="2"/>
  <c r="E13" i="2"/>
  <c r="E51" i="2" s="1"/>
  <c r="E54" i="2" s="1"/>
  <c r="E16" i="2"/>
  <c r="E38" i="2" s="1"/>
  <c r="C36" i="2"/>
  <c r="C37" i="2" s="1"/>
  <c r="F22" i="7"/>
  <c r="F24" i="7" s="1"/>
  <c r="C7" i="4" s="1"/>
  <c r="I7" i="3"/>
  <c r="F14" i="7"/>
  <c r="G14" i="7" s="1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F13" i="7"/>
  <c r="F18" i="7" s="1"/>
  <c r="D55" i="3"/>
  <c r="C30" i="4" s="1"/>
  <c r="D30" i="4" s="1"/>
  <c r="G30" i="4" s="1"/>
  <c r="E62" i="3"/>
  <c r="C15" i="4" s="1"/>
  <c r="D15" i="4" s="1"/>
  <c r="F47" i="2"/>
  <c r="C13" i="2"/>
  <c r="F12" i="7"/>
  <c r="I11" i="7" s="1"/>
  <c r="I13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G28" i="7" s="1"/>
  <c r="C3" i="4"/>
  <c r="C27" i="4" s="1"/>
  <c r="J16" i="1"/>
  <c r="C20" i="4"/>
  <c r="B3" i="7"/>
  <c r="C49" i="3" l="1"/>
  <c r="E3" i="3" s="1"/>
  <c r="I6" i="3"/>
  <c r="I26" i="3"/>
  <c r="J26" i="3" s="1"/>
  <c r="E28" i="3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E28" i="7"/>
  <c r="F16" i="7"/>
  <c r="F17" i="7"/>
  <c r="C38" i="2"/>
  <c r="E55" i="2"/>
  <c r="I18" i="7"/>
  <c r="I16" i="7" s="1"/>
  <c r="C17" i="4"/>
  <c r="C32" i="4"/>
  <c r="G12" i="2"/>
  <c r="D46" i="4"/>
  <c r="G13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1" i="7"/>
  <c r="C18" i="4"/>
  <c r="D18" i="4" s="1"/>
  <c r="D53" i="3"/>
  <c r="D24" i="3"/>
  <c r="D52" i="3"/>
  <c r="F17" i="2"/>
  <c r="E17" i="2"/>
  <c r="D28" i="3" l="1"/>
  <c r="E49" i="3"/>
  <c r="D49" i="3" s="1"/>
  <c r="M104" i="8"/>
  <c r="O104" i="8" s="1"/>
  <c r="D17" i="4"/>
  <c r="G18" i="4" s="1"/>
  <c r="C3" i="7"/>
  <c r="C28" i="7" s="1"/>
  <c r="D28" i="7"/>
  <c r="F25" i="7"/>
  <c r="I23" i="7"/>
  <c r="I24" i="7"/>
  <c r="C4" i="4"/>
  <c r="F26" i="7"/>
  <c r="C55" i="2"/>
  <c r="G18" i="7"/>
  <c r="D44" i="3"/>
  <c r="D45" i="3"/>
  <c r="G15" i="4"/>
  <c r="F20" i="7"/>
  <c r="J27" i="3"/>
  <c r="D25" i="3"/>
  <c r="C45" i="4" l="1"/>
  <c r="C6" i="4"/>
  <c r="D6" i="3"/>
  <c r="D7" i="3" s="1"/>
  <c r="G17" i="7"/>
  <c r="G16" i="7"/>
  <c r="C8" i="4"/>
  <c r="G19" i="7"/>
  <c r="J47" i="3"/>
  <c r="J28" i="3" s="1"/>
  <c r="G32" i="4" l="1"/>
  <c r="D31" i="4"/>
  <c r="G21" i="7"/>
  <c r="D32" i="4"/>
  <c r="C9" i="4"/>
  <c r="C28" i="4"/>
  <c r="C33" i="4" s="1"/>
  <c r="C34" i="4" s="1"/>
  <c r="D18" i="5"/>
  <c r="E64" i="5" s="1"/>
  <c r="C37" i="4" s="1"/>
  <c r="F44" i="1"/>
  <c r="D4" i="4" l="1"/>
  <c r="G24" i="7"/>
  <c r="D7" i="4" s="1"/>
  <c r="G20" i="7"/>
  <c r="E18" i="5"/>
  <c r="F43" i="1"/>
  <c r="D64" i="5"/>
  <c r="E7" i="5" s="1"/>
  <c r="D7" i="5" s="1"/>
  <c r="D8" i="5" s="1"/>
  <c r="E8" i="5" s="1"/>
  <c r="F41" i="1" s="1"/>
  <c r="G40" i="4"/>
  <c r="D6" i="4" l="1"/>
  <c r="G16" i="4"/>
  <c r="F16" i="1" s="1"/>
  <c r="H16" i="1" s="1"/>
  <c r="D23" i="4"/>
  <c r="D22" i="4"/>
  <c r="D5" i="4"/>
  <c r="G26" i="7"/>
  <c r="F18" i="4"/>
  <c r="D11" i="4"/>
  <c r="D38" i="4" s="1"/>
  <c r="D8" i="4"/>
  <c r="D28" i="4" s="1"/>
  <c r="E6" i="3"/>
  <c r="E17" i="4" l="1"/>
  <c r="D33" i="4"/>
  <c r="D34" i="4" s="1"/>
  <c r="D37" i="4" s="1"/>
  <c r="D39" i="4" s="1"/>
  <c r="G28" i="4"/>
  <c r="D9" i="4"/>
  <c r="D12" i="4" s="1"/>
  <c r="H11" i="7"/>
  <c r="H3" i="7"/>
  <c r="E3" i="4" l="1"/>
  <c r="E27" i="4" s="1"/>
  <c r="H28" i="7"/>
  <c r="G45" i="4"/>
  <c r="F45" i="4"/>
  <c r="E45" i="4"/>
  <c r="H13" i="7"/>
  <c r="H18" i="7" s="1"/>
  <c r="I17" i="7" l="1"/>
  <c r="I3" i="7" s="1"/>
  <c r="H19" i="7"/>
  <c r="H17" i="7"/>
  <c r="H16" i="7"/>
  <c r="F3" i="4" l="1"/>
  <c r="G4" i="4" s="1"/>
  <c r="B21" i="4" s="1"/>
  <c r="G2" i="4" s="1"/>
  <c r="G26" i="4" s="1"/>
  <c r="I28" i="7"/>
  <c r="E31" i="4"/>
  <c r="I19" i="7"/>
  <c r="H21" i="7"/>
  <c r="F27" i="4" l="1"/>
  <c r="E4" i="4"/>
  <c r="H24" i="7"/>
  <c r="E7" i="4" s="1"/>
  <c r="F31" i="4"/>
  <c r="I21" i="7"/>
  <c r="I26" i="7" s="1"/>
  <c r="H20" i="7"/>
  <c r="E5" i="4" l="1"/>
  <c r="H26" i="7"/>
  <c r="E8" i="4"/>
  <c r="E28" i="4" s="1"/>
  <c r="E32" i="4" s="1"/>
  <c r="F10" i="4"/>
  <c r="F35" i="4" s="1"/>
  <c r="F36" i="4" s="1"/>
  <c r="G31" i="4"/>
  <c r="F8" i="4"/>
  <c r="F28" i="4" s="1"/>
  <c r="F32" i="4" s="1"/>
  <c r="F33" i="4" s="1"/>
  <c r="F34" i="4" s="1"/>
  <c r="I20" i="7"/>
  <c r="G33" i="4"/>
  <c r="G34" i="4" s="1"/>
  <c r="G37" i="4" s="1"/>
  <c r="E10" i="4"/>
  <c r="E33" i="4" l="1"/>
  <c r="E34" i="4" s="1"/>
  <c r="F37" i="4"/>
  <c r="F9" i="4"/>
  <c r="G9" i="4"/>
  <c r="E35" i="4"/>
  <c r="F11" i="4"/>
  <c r="E11" i="4"/>
  <c r="E38" i="4" s="1"/>
  <c r="E9" i="4"/>
  <c r="F38" i="4" l="1"/>
  <c r="F39" i="4" s="1"/>
  <c r="F12" i="4"/>
  <c r="G11" i="4"/>
  <c r="E12" i="4"/>
  <c r="E22" i="4" l="1"/>
  <c r="F22" i="4" s="1"/>
  <c r="E23" i="4"/>
  <c r="F23" i="4" s="1"/>
  <c r="G23" i="4" s="1"/>
  <c r="G38" i="4"/>
  <c r="G22" i="4" l="1"/>
  <c r="E36" i="4"/>
  <c r="E37" i="4" s="1"/>
  <c r="G24" i="4" l="1"/>
  <c r="E39" i="4"/>
  <c r="G39" i="4"/>
  <c r="G41" i="4" l="1"/>
  <c r="C44" i="4" s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  <c r="M107" i="8"/>
  <c r="M109" i="8" s="1"/>
</calcChain>
</file>

<file path=xl/sharedStrings.xml><?xml version="1.0" encoding="utf-8"?>
<sst xmlns="http://schemas.openxmlformats.org/spreadsheetml/2006/main" count="533" uniqueCount="445">
  <si>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</si>
  <si>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</si>
  <si>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</si>
  <si>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</si>
  <si>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</si>
  <si>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</si>
  <si>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</si>
  <si>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</si>
  <si>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</si>
  <si>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</si>
  <si>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</si>
  <si>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</si>
  <si>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</si>
  <si>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</si>
  <si>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</si>
  <si>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</si>
  <si>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</si>
  <si>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</si>
  <si>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</si>
  <si>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</si>
  <si>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</si>
  <si>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</si>
  <si>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</si>
  <si>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</si>
  <si>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</si>
  <si>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</si>
  <si>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</si>
  <si>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</si>
  <si>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</si>
  <si>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</si>
  <si>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</si>
  <si>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</si>
  <si>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</si>
  <si>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</si>
  <si>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</si>
  <si>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</si>
  <si>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</si>
  <si>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</si>
  <si>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</si>
  <si>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</si>
  <si>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</si>
  <si>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</si>
  <si>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</si>
  <si>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</si>
  <si>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</si>
  <si>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</si>
  <si>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</si>
  <si>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</si>
  <si>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</si>
  <si>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</si>
  <si>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</si>
  <si>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</si>
  <si>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</si>
  <si>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</si>
  <si>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</si>
  <si>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</si>
  <si>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</si>
  <si>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</si>
  <si>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</si>
  <si>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</si>
  <si>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</si>
  <si>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</si>
  <si>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</si>
  <si>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</si>
  <si>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</si>
  <si>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</si>
  <si>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</si>
  <si>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</si>
  <si>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</si>
  <si>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</si>
  <si>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</si>
  <si>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</si>
  <si>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</si>
  <si>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</si>
  <si>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</si>
  <si>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</si>
  <si>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</si>
  <si>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</si>
  <si>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</si>
  <si>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</si>
  <si>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</si>
  <si>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</si>
  <si>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</si>
  <si>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</si>
  <si>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</si>
  <si>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</si>
  <si>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</si>
  <si>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</si>
  <si>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</si>
  <si>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</si>
  <si>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</si>
  <si>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</si>
  <si>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</si>
  <si>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</si>
  <si>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</si>
  <si>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</si>
  <si>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</si>
  <si>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</si>
  <si>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</si>
  <si>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</si>
  <si>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</si>
  <si>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</si>
  <si>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</si>
  <si>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</si>
  <si>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</si>
  <si>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</si>
  <si>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</si>
  <si>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</si>
  <si>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</si>
  <si>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</si>
  <si>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</si>
  <si>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</si>
  <si>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</si>
  <si>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</si>
  <si>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</si>
  <si>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</si>
  <si>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</si>
  <si>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</si>
  <si>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</si>
  <si>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</si>
  <si>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</si>
  <si>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</si>
  <si>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</si>
  <si>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</si>
  <si>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</si>
  <si>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</si>
  <si>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</si>
  <si>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</si>
  <si>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</si>
  <si>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</si>
  <si>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</si>
  <si>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</si>
  <si>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</si>
  <si>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</si>
  <si>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</si>
  <si>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</si>
  <si>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</si>
  <si>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</si>
  <si>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</si>
  <si>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</si>
  <si>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</si>
  <si>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</si>
  <si>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</si>
  <si>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</si>
  <si>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</si>
  <si>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</si>
  <si>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</si>
  <si>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</si>
  <si>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</si>
  <si>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</si>
  <si>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</si>
  <si>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</si>
  <si>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</si>
  <si>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</si>
  <si>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</si>
  <si>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</si>
  <si>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</si>
  <si>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</si>
  <si>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</si>
  <si>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</si>
  <si>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</si>
  <si>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</si>
  <si>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</si>
  <si>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</si>
  <si>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</si>
  <si>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</si>
  <si>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</si>
  <si>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</si>
  <si>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</si>
  <si>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</si>
  <si>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</si>
  <si>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</si>
  <si>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</si>
  <si>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</si>
  <si>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</si>
  <si>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</si>
  <si>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</si>
  <si>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</si>
  <si>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</si>
  <si>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</si>
  <si>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</si>
  <si>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</si>
  <si>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</si>
  <si>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</si>
  <si>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</si>
  <si>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</si>
  <si>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</si>
  <si>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</si>
  <si>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</si>
  <si>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</si>
  <si>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</si>
  <si>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</si>
  <si>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</si>
  <si>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</si>
  <si>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</si>
  <si>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</si>
  <si>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</si>
  <si>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</si>
  <si>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</si>
  <si>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</si>
  <si>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</si>
  <si>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</si>
  <si>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</si>
  <si>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</si>
  <si>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</si>
  <si>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</si>
  <si>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</si>
  <si>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</si>
  <si>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</si>
  <si>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</si>
  <si>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</si>
  <si>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</si>
  <si>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</si>
  <si>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</si>
  <si>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</si>
  <si>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</si>
  <si>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</si>
  <si>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</si>
  <si>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</si>
  <si>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</si>
  <si>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</si>
  <si>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</si>
  <si>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</si>
  <si>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</si>
  <si>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</si>
  <si>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</si>
  <si>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</si>
  <si>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</si>
  <si>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</si>
  <si>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</si>
  <si>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</si>
  <si>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</si>
  <si>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</si>
  <si>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</si>
  <si>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</si>
  <si>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</si>
  <si>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</si>
  <si>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</si>
  <si>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</si>
  <si>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</si>
  <si>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</si>
  <si>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</si>
  <si>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</si>
  <si>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</si>
  <si>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</si>
  <si>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</si>
  <si>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</si>
  <si>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</si>
  <si>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</si>
  <si>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</si>
  <si>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</si>
  <si>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</si>
  <si>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</si>
  <si>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</si>
  <si>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</si>
  <si>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</si>
  <si>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</si>
  <si>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</si>
  <si>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</si>
  <si>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</si>
  <si>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</si>
  <si>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</si>
  <si>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</si>
  <si>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</si>
  <si>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</si>
  <si>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</si>
  <si>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</si>
  <si>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</si>
  <si>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</si>
  <si>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</si>
  <si>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</si>
  <si>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</si>
  <si>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</si>
  <si>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</si>
  <si>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</si>
  <si>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</si>
  <si>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</si>
  <si>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</si>
  <si>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</si>
  <si>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</si>
  <si>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</si>
  <si>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</si>
  <si>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</si>
  <si>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</si>
  <si>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</si>
  <si>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</si>
  <si>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</si>
  <si>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</si>
  <si>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</si>
  <si>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</si>
  <si>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</si>
  <si>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</si>
  <si>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</si>
  <si>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</si>
  <si>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</si>
  <si>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</si>
  <si>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</si>
  <si>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</si>
  <si>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</si>
  <si>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</si>
  <si>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</si>
  <si>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</si>
  <si>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</si>
  <si>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</si>
  <si>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</si>
  <si>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</si>
  <si>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</si>
  <si>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</si>
  <si>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</si>
  <si>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</si>
  <si>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</si>
  <si>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</si>
  <si>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</si>
  <si>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</si>
  <si>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</si>
  <si>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</si>
  <si>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</si>
  <si>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</si>
  <si>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</si>
  <si>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</si>
  <si>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</si>
  <si>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</si>
  <si>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</si>
  <si>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</si>
  <si>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</si>
  <si>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</si>
  <si>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</si>
  <si>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</si>
  <si>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</si>
  <si>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</si>
  <si>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</si>
  <si>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</si>
  <si>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</si>
  <si>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</si>
  <si>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</si>
  <si>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</si>
  <si>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</si>
  <si>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</si>
  <si>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</si>
  <si>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</si>
  <si>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</si>
  <si>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</si>
  <si>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</si>
  <si>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</si>
  <si>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</si>
  <si>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</si>
  <si>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</si>
  <si>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</si>
  <si>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</si>
  <si>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</si>
  <si>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</si>
  <si>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</si>
  <si>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</si>
  <si>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</si>
  <si>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</si>
  <si>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</si>
  <si>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</si>
  <si>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交通用户</t>
  </si>
  <si>
    <t>批发业务</t>
  </si>
  <si>
    <t>原材料及消耗品</t>
  </si>
  <si>
    <t>每新增一户的收入(千元)</t>
  </si>
  <si>
    <t>LNG价格 (元/吨)</t>
  </si>
  <si>
    <t>Modeling Framework</t>
  </si>
  <si>
    <t>Operating Expense</t>
  </si>
  <si>
    <t>占比</t>
  </si>
  <si>
    <t>成本端:</t>
  </si>
  <si>
    <t>收入端:</t>
  </si>
  <si>
    <t>平均每立方米价格 (元)</t>
  </si>
  <si>
    <t>住宅用户</t>
  </si>
  <si>
    <t>工商业用户</t>
  </si>
  <si>
    <t>总销气量 (万立方米)</t>
  </si>
  <si>
    <t>累计接驳用户</t>
  </si>
  <si>
    <t>城燃住宅用户</t>
  </si>
  <si>
    <t>乡镇住宅用户</t>
  </si>
  <si>
    <t>新增管道燃气用户</t>
  </si>
  <si>
    <t>增长空间分析：</t>
  </si>
  <si>
    <t>a. 河南气化率</t>
  </si>
  <si>
    <t>b. 世界主要国家气化率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</si>
  <si>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</si>
  <si>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</si>
  <si>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</si>
  <si>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</si>
  <si>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</si>
  <si>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</si>
  <si>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</si>
  <si>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</si>
  <si>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</si>
  <si>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</si>
  <si>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</si>
  <si>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</si>
  <si>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</si>
  <si>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</si>
  <si>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</si>
  <si>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</si>
  <si>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</si>
  <si>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</si>
  <si>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</si>
  <si>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</si>
  <si>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</si>
  <si>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</si>
  <si>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operating assets =</t>
  </si>
  <si>
    <t>Earnings</t>
  </si>
  <si>
    <t>*</t>
  </si>
  <si>
    <t>P/E Ratio</t>
  </si>
  <si>
    <t xml:space="preserve">non-operating assts = </t>
  </si>
  <si>
    <t>BV</t>
  </si>
  <si>
    <t>discount factor</t>
  </si>
  <si>
    <t>Net Cash</t>
  </si>
  <si>
    <t>-</t>
  </si>
  <si>
    <t>intrinsic Value</t>
  </si>
  <si>
    <t>discount</t>
  </si>
  <si>
    <t>/</t>
  </si>
  <si>
    <t>Total Assets</t>
  </si>
  <si>
    <t>0710.HK</t>
  </si>
  <si>
    <t>BOE VARITRONIX</t>
  </si>
  <si>
    <t>ROE = EBIT / Total Equity</t>
  </si>
  <si>
    <t>Total Assets / Total Equity</t>
  </si>
  <si>
    <t>汽車TFT顯示屏產品和大中型顯示屏模組的龍頭</t>
  </si>
  <si>
    <t>1. 京東方的附屬公司, 其唯一車載顯示及系統運營平台
2. 呎吋大於8英吋的TFT-LCD顯示屏，取得了市場佔有率第一位
3. 建立強大的客戶網絡，並獲得主要汽車製造商的量產項目</t>
  </si>
  <si>
    <t>1. 京東方被美國制裁，多方面受制，難以開拓海外市場
2. 電子元器件因制裁導致短缺，或材料成本上漲</t>
  </si>
  <si>
    <t>1. 因制裁導業務受阻的可能性較低，關鍵零件國產率較高
2. 國内經濟下行
3. 根据“王氏定律”，每三年，液晶显示面板价格会下降50</t>
  </si>
  <si>
    <t>1. 預期汽車智能座艙顯示屏增長空間大
2. 目前液晶屏板价格上涨，高于成本价</t>
  </si>
  <si>
    <t>1. 下游车厂的需求比预期差</t>
  </si>
  <si>
    <t>1. No. 未来需求走势不可预测</t>
  </si>
  <si>
    <t>P/S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</si>
  <si>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</si>
  <si>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</si>
  <si>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</si>
  <si>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</si>
  <si>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</si>
  <si>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</si>
  <si>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</si>
  <si>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</si>
  <si>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</si>
  <si>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</si>
  <si>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</si>
  <si>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</si>
  <si>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</si>
  <si>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1x PS is really reasonable given the high growth rate</t>
  </si>
  <si>
    <t>中国</t>
  </si>
  <si>
    <t>欧洲</t>
  </si>
  <si>
    <t>美洲</t>
  </si>
  <si>
    <t>韩国</t>
  </si>
  <si>
    <t>Chinese EV makers rapid expand production</t>
  </si>
  <si>
    <t>下游车厂价格战导致成本压力向上游传导，公司盈利能力明显下降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</si>
</sst>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4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0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5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5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0" fontId="5" fillId="10" borderId="9" xfId="0" applyFont="1" applyFill="1" applyBorder="1"/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4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3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3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3" fontId="5" fillId="13" borderId="9" xfId="0" applyNumberFormat="1" applyFont="1" applyFill="1" applyBorder="1" applyAlignment="1">
      <alignment horizontal="center"/>
    </xf>
    <xf numFmtId="185" fontId="1" fillId="0" borderId="9" xfId="0" applyNumberFormat="1" applyFont="1" applyBorder="1" applyAlignment="1">
      <alignment horizontal="center"/>
    </xf>
    <xf numFmtId="186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5" fillId="0" borderId="0" xfId="0" applyFont="1" applyAlignment="1">
      <alignment horizontal="right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77" fontId="14" fillId="0" borderId="2" xfId="0" applyNumberFormat="1" applyFont="1" applyBorder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4" fontId="5" fillId="8" borderId="0" xfId="0" applyNumberFormat="1" applyFont="1" applyFill="1" applyAlignment="1">
      <alignment horizontal="center"/>
    </xf>
    <xf numFmtId="10" fontId="5" fillId="0" borderId="0" xfId="0" applyNumberFormat="1" applyFont="1" applyAlignment="1">
      <alignment horizontal="right"/>
    </xf>
    <xf numFmtId="0" fontId="24" fillId="0" borderId="0" xfId="0" applyFont="1" applyAlignment="1">
      <alignment horizontal="left"/>
    </xf>
    <xf numFmtId="3" fontId="24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center"/>
    </xf>
    <xf numFmtId="3" fontId="24" fillId="0" borderId="0" xfId="0" applyNumberFormat="1" applyFont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79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1" fontId="1" fillId="0" borderId="9" xfId="0" applyNumberFormat="1" applyFont="1" applyBorder="1" applyAlignment="1">
      <alignment horizontal="center"/>
    </xf>
    <xf numFmtId="6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1" fontId="1" fillId="0" borderId="11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8" fontId="4" fillId="9" borderId="9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68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87" fontId="1" fillId="14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1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Visualizations!$C$2:$M$2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Visualizations!$C$3:$M$3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FF9A-4B27-90A6-661D4E356271}"/>
            </c:ext>
          </c:extLst>
        </c:ser>
        <c:ser>
          <c:idx val="2"/>
          <c:order val="2"/>
          <c:tx>
            <c:strRef>
              <c:f>Visualizations!$B$5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Visualizations!$C$5:$M$5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2-FF9A-4B27-90A6-661D4E35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94673856"/>
        <c:axId val="694674576"/>
      </c:barChart>
      <c:lineChart>
        <c:grouping val="standard"/>
        <c:varyColors val="0"/>
        <c:ser>
          <c:idx val="1"/>
          <c:order val="1"/>
          <c:tx>
            <c:strRef>
              <c:f>Visualizations!$B$4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Visualizations!$C$2:$M$2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Visualizations!$C$4:$M$4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9A-4B27-90A6-661D4E356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682856"/>
        <c:axId val="694672776"/>
      </c:lineChart>
      <c:catAx>
        <c:axId val="694673856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4576"/>
        <c:crosses val="autoZero"/>
        <c:auto val="1"/>
        <c:lblAlgn val="ctr"/>
        <c:lblOffset val="100"/>
        <c:noMultiLvlLbl val="0"/>
      </c:catAx>
      <c:valAx>
        <c:axId val="694674576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73856"/>
        <c:crosses val="autoZero"/>
        <c:crossBetween val="between"/>
      </c:valAx>
      <c:valAx>
        <c:axId val="69467277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2856"/>
        <c:crosses val="max"/>
        <c:crossBetween val="between"/>
      </c:valAx>
      <c:catAx>
        <c:axId val="694682856"/>
        <c:scaling>
          <c:orientation val="minMax"/>
        </c:scaling>
        <c:delete val="1"/>
        <c:axPos val="t"/>
        <c:numFmt formatCode="0" sourceLinked="1"/>
        <c:majorTickMark val="out"/>
        <c:minorTickMark val="none"/>
        <c:tickLblPos val="nextTo"/>
        <c:crossAx val="69467277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Visualizations!$C$2:$M$2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Visualizations!$C$8:$M$8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Visualizations!$C$9:$M$9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Visualizations!$B$32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Visualizations!$C$31:$M$31</c15:sqref>
                  </c15:fullRef>
                </c:ext>
              </c:extLst>
              <c:f>Visualizations!$J$31:$M$31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Visualizations!$C$32:$M$32</c15:sqref>
                  </c15:fullRef>
                </c:ext>
              </c:extLst>
              <c:f>Visualizations!$J$32:$M$32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Visualizations!$B$33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Visualizations!$C$31:$M$31</c15:sqref>
                  </c15:fullRef>
                </c:ext>
              </c:extLst>
              <c:f>Visualizations!$J$31:$M$31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Visualizations!$C$33:$M$33</c15:sqref>
                  </c15:fullRef>
                </c:ext>
              </c:extLst>
              <c:f>Visualizations!$J$33:$M$33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Visualizations!$B$34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Visualizations!$C$31:$M$31</c15:sqref>
                  </c15:fullRef>
                </c:ext>
              </c:extLst>
              <c:f>Visualizations!$J$31:$M$31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Visualizations!$C$34:$M$34</c15:sqref>
                  </c15:fullRef>
                </c:ext>
              </c:extLst>
              <c:f>Visualizations!$J$34:$M$34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Visualizations!$B$57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Visualizations!$C$56:$M$56</c15:sqref>
                  </c15:fullRef>
                </c:ext>
              </c:extLst>
              <c:f>Visualizations!$J$56:$M$56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Visualizations!$C$57:$M$57</c15:sqref>
                  </c15:fullRef>
                </c:ext>
              </c:extLst>
              <c:f>Visualizations!$J$57:$M$57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Visualizations!$B$58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Visualizations!$C$56:$M$56</c15:sqref>
                  </c15:fullRef>
                </c:ext>
              </c:extLst>
              <c:f>Visualizations!$J$56:$M$56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Visualizations!$C$58:$M$58</c15:sqref>
                  </c15:fullRef>
                </c:ext>
              </c:extLst>
              <c:f>Visualizations!$J$58:$M$58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Visualizations!$B$59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Visualizations!$C$56:$M$56</c15:sqref>
                  </c15:fullRef>
                </c:ext>
              </c:extLst>
              <c:f>Visualizations!$J$56:$M$56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Visualizations!$C$59:$M$59</c15:sqref>
                  </c15:fullRef>
                </c:ext>
              </c:extLst>
              <c:f>Visualizations!$J$59:$M$59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Visualizations!$B$60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Visualizations!$C$60:$M$60</c15:sqref>
                  </c15:fullRef>
                </c:ext>
              </c:extLst>
              <c:f>Visualizations!$J$60:$M$60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Visualizations!$B$64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Visualizations!$C$63:$M$63</c15:sqref>
                  </c15:fullRef>
                </c:ext>
              </c:extLst>
              <c:f>Visualizations!$J$63:$M$63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Visualizations!$C$64:$M$64</c15:sqref>
                  </c15:fullRef>
                </c:ext>
              </c:extLst>
              <c:f>Visualizations!$J$64:$M$64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Visualizations!$B$65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Visualizations!$C$63:$M$63</c15:sqref>
                  </c15:fullRef>
                </c:ext>
              </c:extLst>
              <c:f>Visualizations!$J$63:$M$63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Visualizations!$C$65:$M$65</c15:sqref>
                  </c15:fullRef>
                </c:ext>
              </c:extLst>
              <c:f>Visualizations!$J$65:$M$65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Visualizations!$B$66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Visualizations!$C$63:$M$63</c15:sqref>
                  </c15:fullRef>
                </c:ext>
              </c:extLst>
              <c:f>Visualizations!$J$63:$M$63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Visualizations!$C$66:$M$66</c15:sqref>
                  </c15:fullRef>
                </c:ext>
              </c:extLst>
              <c:f>Visualizations!$J$66:$M$66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Visualizations!$B$89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Visualizations!$C$89:$M$89</c15:sqref>
                  </c15:fullRef>
                </c:ext>
              </c:extLst>
              <c:f>Visualizations!$J$89:$M$89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Visualizations!$B$90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Visualizations!$C$90:$M$90</c15:sqref>
                  </c15:fullRef>
                </c:ext>
              </c:extLst>
              <c:f>Visualizations!$J$90:$M$90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37000</c:v>
                </c:pt>
                <c:pt idx="2" formatCode="#,##0">
                  <c:v>36302</c:v>
                </c:pt>
                <c:pt idx="3" formatCode="#,##0">
                  <c:v>182000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Visualizations!$B$91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Visualizations!$C$91:$M$91</c15:sqref>
                  </c15:fullRef>
                </c:ext>
              </c:extLst>
              <c:f>Visualizations!$J$91:$M$91</c:f>
              <c:numCache>
                <c:formatCode>General</c:formatCode>
                <c:ptCount val="4"/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Visualizations!$B$88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Visualizations!$C$88:$M$88</c15:sqref>
                  </c15:fullRef>
                </c:ext>
              </c:extLst>
              <c:f>Visualizations!$J$88:$M$88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68639</c:v>
                </c:pt>
                <c:pt idx="2" formatCode="#,##0">
                  <c:v>327798</c:v>
                </c:pt>
                <c:pt idx="3" formatCode="#,##0">
                  <c:v>582451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Visualizations!$B$95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Visualizations!$C$95:$M$95</c15:sqref>
                  </c15:fullRef>
                </c:ext>
              </c:extLst>
              <c:f>Visualizations!$J$95:$M$95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Visualizations!$B$96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Visualizations!$C$87:$M$87</c15:sqref>
                  </c15:fullRef>
                </c:ext>
              </c:extLst>
              <c:f>Visualizations!$J$87:$M$87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Visualizations!$C$96:$M$96</c15:sqref>
                  </c15:fullRef>
                </c:ext>
              </c:extLst>
              <c:f>Visualizations!$J$96:$M$96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Visualizations!$B$97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Visualizations!$C$97:$M$97</c15:sqref>
                  </c15:fullRef>
                </c:ext>
              </c:extLst>
              <c:f>Visualizations!$J$97:$M$97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258762</xdr:colOff>
      <xdr:row>10</xdr:row>
      <xdr:rowOff>123825</xdr:rowOff>
    </xdr:from>
    <xdr:to>
      <xdr:col>5</xdr:col>
      <xdr:colOff>39687</xdr:colOff>
      <xdr:row>27</xdr:row>
      <xdr:rowOff>111125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8EC666-ED2D-8122-B6D2-6314A63EF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654050</xdr:colOff>
      <xdr:row>10</xdr:row>
      <xdr:rowOff>142875</xdr:rowOff>
    </xdr:from>
    <xdr:to>
      <xdr:col>10</xdr:col>
      <xdr:colOff>704850</xdr:colOff>
      <xdr:row>27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349250</xdr:colOff>
      <xdr:row>35</xdr:row>
      <xdr:rowOff>139700</xdr:rowOff>
    </xdr:from>
    <xdr:to>
      <xdr:col>5</xdr:col>
      <xdr:colOff>139700</xdr:colOff>
      <xdr:row>52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792162</xdr:colOff>
      <xdr:row>35</xdr:row>
      <xdr:rowOff>133350</xdr:rowOff>
    </xdr:from>
    <xdr:to>
      <xdr:col>12</xdr:col>
      <xdr:colOff>7937</xdr:colOff>
      <xdr:row>52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145761</xdr:colOff>
      <xdr:row>67</xdr:row>
      <xdr:rowOff>31895</xdr:rowOff>
    </xdr:from>
    <xdr:to>
      <xdr:col>5</xdr:col>
      <xdr:colOff>294409</xdr:colOff>
      <xdr:row>84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216477</xdr:colOff>
      <xdr:row>66</xdr:row>
      <xdr:rowOff>72159</xdr:rowOff>
    </xdr:from>
    <xdr:to>
      <xdr:col>12</xdr:col>
      <xdr:colOff>386772</xdr:colOff>
      <xdr:row>83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1443</xdr:colOff>
      <xdr:row>98</xdr:row>
      <xdr:rowOff>125701</xdr:rowOff>
    </xdr:from>
    <xdr:to>
      <xdr:col>5</xdr:col>
      <xdr:colOff>150091</xdr:colOff>
      <xdr:row>116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opLeftCell="A7" zoomScaleNormal="100" workbookViewId="0">
      <selection activeCell="J10" sqref="J10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0710.HK : BOE VARITRONIX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44" t="s">
        <v>413</v>
      </c>
      <c r="D3" s="345"/>
      <c r="E3" s="6"/>
      <c r="G3" s="7" t="s">
        <v>2</v>
      </c>
      <c r="I3" s="356" t="s">
        <v>3</v>
      </c>
      <c r="J3" s="356"/>
    </row>
    <row r="4" spans="1:12" ht="15.75" customHeight="1">
      <c r="B4" s="5" t="s">
        <v>4</v>
      </c>
      <c r="C4" s="346" t="s">
        <v>414</v>
      </c>
      <c r="D4" s="347"/>
      <c r="E4" s="6"/>
      <c r="G4" s="5" t="s">
        <v>5</v>
      </c>
      <c r="I4" s="221">
        <v>7.47</v>
      </c>
      <c r="J4" s="222" t="s">
        <v>6</v>
      </c>
      <c r="K4" s="92"/>
    </row>
    <row r="5" spans="1:12" ht="15.75" customHeight="1">
      <c r="B5" s="5" t="s">
        <v>7</v>
      </c>
      <c r="C5" s="348">
        <v>45154</v>
      </c>
      <c r="D5" s="347"/>
      <c r="E5" s="79" t="str">
        <f ca="1">IF(C5+30&gt;=TODAY(),"Patience Premium","")</f>
        <v>Patience Premium</v>
      </c>
      <c r="G5" s="5" t="s">
        <v>8</v>
      </c>
      <c r="I5" s="357">
        <v>791574976</v>
      </c>
      <c r="J5" s="357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44985</v>
      </c>
      <c r="E6" s="128">
        <f>IF(Asset_Model!E9="FY",Asset_Model!D9,Data!C3)</f>
        <v>44926</v>
      </c>
      <c r="G6" s="85" t="s">
        <v>9</v>
      </c>
      <c r="H6" s="84"/>
      <c r="I6" s="358">
        <f>I4*I5/1000000</f>
        <v>5913.0650707200002</v>
      </c>
      <c r="J6" s="358"/>
      <c r="K6" s="91"/>
    </row>
    <row r="7" spans="1:12" ht="15.75" customHeight="1">
      <c r="B7" s="86" t="s">
        <v>10</v>
      </c>
      <c r="C7" s="218">
        <f>(Data!C42*Exchange_Rate)/I4</f>
        <v>3.0779299368988496E-2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10.152038661999036</v>
      </c>
      <c r="J9" s="166">
        <f>IF(I9="NNI","NNI",1/I9)</f>
        <v>9.8502382949267664E-2</v>
      </c>
    </row>
    <row r="10" spans="1:12" ht="15.75" customHeight="1">
      <c r="B10" s="3" t="s">
        <v>226</v>
      </c>
      <c r="C10" s="122" t="s">
        <v>324</v>
      </c>
      <c r="D10" s="122">
        <v>2.8999999999999998E-2</v>
      </c>
      <c r="E10" s="5"/>
      <c r="G10" s="85" t="s">
        <v>332</v>
      </c>
      <c r="H10" s="84"/>
      <c r="I10" s="165">
        <f>I4/(Data!C29*I12*Data!C4/Common_Shares)</f>
        <v>1.4366839645237965</v>
      </c>
      <c r="J10" s="223">
        <f>I4/(Data!C7*Data!C4/Common_Shares*Exchange_Rate)</f>
        <v>0.55147043367780657</v>
      </c>
    </row>
    <row r="11" spans="1:12" ht="15.75" customHeight="1" thickBot="1">
      <c r="B11" s="124" t="s">
        <v>227</v>
      </c>
      <c r="C11" s="369">
        <f ca="1">C12-D10</f>
        <v>6.7000000000000004E-2</v>
      </c>
      <c r="D11" s="370"/>
      <c r="E11" s="13"/>
      <c r="G11" s="5" t="s">
        <v>14</v>
      </c>
      <c r="H11" s="6"/>
      <c r="I11" s="356" t="s">
        <v>6</v>
      </c>
      <c r="J11" s="356"/>
    </row>
    <row r="12" spans="1:12" ht="15.75" customHeight="1" thickTop="1">
      <c r="B12" s="125" t="s">
        <v>124</v>
      </c>
      <c r="C12" s="367">
        <f ca="1">IF(C10="CN",8%,6%)*IF($C$5+30&gt;=TODAY(),1.2,1)</f>
        <v>9.6000000000000002E-2</v>
      </c>
      <c r="D12" s="368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5.4798485626402202</v>
      </c>
      <c r="F14" s="98"/>
      <c r="G14" s="99"/>
      <c r="H14" s="134" t="s">
        <v>323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322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310</v>
      </c>
      <c r="J15" s="55" t="s">
        <v>18</v>
      </c>
    </row>
    <row r="16" spans="1:12" ht="15.75" customHeight="1">
      <c r="B16" s="82">
        <f>I4</f>
        <v>7.47</v>
      </c>
      <c r="C16" s="381">
        <v>0.2</v>
      </c>
      <c r="D16" s="238">
        <f ca="1">I37/B16-(1+C16)</f>
        <v>4.2221606839439652E-2</v>
      </c>
      <c r="E16" s="362" t="s">
        <v>21</v>
      </c>
      <c r="F16" s="359">
        <f>(Val_Models!G16)*Exchange_Rate</f>
        <v>1.9058544257105325</v>
      </c>
      <c r="G16" s="362" t="s">
        <v>22</v>
      </c>
      <c r="H16" s="239">
        <f>B16-$F$16</f>
        <v>5.5641455742894674</v>
      </c>
      <c r="I16" s="375">
        <v>2.3E-2</v>
      </c>
      <c r="J16" s="166">
        <f>I16/B16</f>
        <v>3.0789825970548861E-3</v>
      </c>
    </row>
    <row r="17" spans="1:10" ht="15.75" customHeight="1">
      <c r="B17" s="116">
        <f ca="1">MIN((I37+I38)/2,I37/(1+C16), IF(J20=0,E14,I37/(1+C16)))</f>
        <v>6.8316371266013949</v>
      </c>
      <c r="C17" s="382"/>
      <c r="D17" s="149">
        <f ca="1">I37/B17-(1+C16)</f>
        <v>0.15829746678991596</v>
      </c>
      <c r="E17" s="363"/>
      <c r="F17" s="360"/>
      <c r="G17" s="363"/>
      <c r="H17" s="236">
        <f ca="1">B17-$F$16</f>
        <v>4.9257827008908626</v>
      </c>
      <c r="I17" s="376"/>
      <c r="J17" s="149">
        <f ca="1">I16/B17</f>
        <v>3.3666893562659186E-3</v>
      </c>
    </row>
    <row r="18" spans="1:10" ht="15.75" customHeight="1">
      <c r="B18" s="129">
        <f>C37</f>
        <v>7</v>
      </c>
      <c r="C18" s="383"/>
      <c r="D18" s="237">
        <f ca="1">I37/B18-(1+C16)</f>
        <v>0.12562791472723056</v>
      </c>
      <c r="E18" s="364"/>
      <c r="F18" s="361"/>
      <c r="G18" s="364"/>
      <c r="H18" s="98">
        <f>B18-$F$16</f>
        <v>5.0941455742894677</v>
      </c>
      <c r="I18" s="377"/>
      <c r="J18" s="158">
        <f>I16/B18</f>
        <v>3.2857142857142855E-3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338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51" t="s">
        <v>417</v>
      </c>
      <c r="D21" s="352"/>
      <c r="E21" s="353"/>
      <c r="F21" s="353"/>
      <c r="G21" s="353"/>
      <c r="H21" s="353"/>
      <c r="I21" s="353"/>
      <c r="J21" s="353"/>
    </row>
    <row r="22" spans="1:10" ht="52.5" customHeight="1">
      <c r="A22" s="6"/>
      <c r="B22" s="19" t="s">
        <v>25</v>
      </c>
      <c r="C22" s="366" t="s">
        <v>418</v>
      </c>
      <c r="D22" s="345"/>
      <c r="E22" s="345"/>
      <c r="F22" s="345"/>
      <c r="G22" s="366" t="s">
        <v>419</v>
      </c>
      <c r="H22" s="366"/>
      <c r="I22" s="345"/>
      <c r="J22" s="345"/>
    </row>
    <row r="23" spans="1:10" ht="52.5" customHeight="1">
      <c r="A23" s="6"/>
      <c r="B23" s="138" t="s">
        <v>26</v>
      </c>
      <c r="C23" s="354" t="s">
        <v>421</v>
      </c>
      <c r="D23" s="355"/>
      <c r="E23" s="355"/>
      <c r="F23" s="355"/>
      <c r="G23" s="354" t="s">
        <v>420</v>
      </c>
      <c r="H23" s="354"/>
      <c r="I23" s="355"/>
      <c r="J23" s="355"/>
    </row>
    <row r="24" spans="1:10" ht="52.5" customHeight="1">
      <c r="A24" s="6"/>
      <c r="B24" s="19" t="s">
        <v>292</v>
      </c>
      <c r="C24" s="329" t="s">
        <v>422</v>
      </c>
      <c r="D24" s="329"/>
      <c r="E24" s="329"/>
      <c r="F24" s="329"/>
      <c r="G24" s="329"/>
      <c r="H24" s="329"/>
      <c r="I24" s="329"/>
      <c r="J24" s="329"/>
    </row>
    <row r="25" spans="1:10" ht="52.5" customHeight="1">
      <c r="A25" s="6"/>
      <c r="B25" s="138" t="s">
        <v>291</v>
      </c>
      <c r="C25" s="330" t="s">
        <v>423</v>
      </c>
      <c r="D25" s="330"/>
      <c r="E25" s="330"/>
      <c r="F25" s="330"/>
      <c r="G25" s="330"/>
      <c r="H25" s="330"/>
      <c r="I25" s="330"/>
      <c r="J25" s="33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49"/>
      <c r="D28" s="350"/>
      <c r="E28" s="380" t="str">
        <f>IF(C28="","","Action_Planning")</f>
        <v/>
      </c>
      <c r="F28" s="380"/>
      <c r="G28" s="380"/>
      <c r="H28" s="380"/>
      <c r="I28" s="365" t="s">
        <v>30</v>
      </c>
      <c r="J28" s="365"/>
    </row>
    <row r="29" spans="1:10" ht="15.75" customHeight="1">
      <c r="B29" s="18" t="s">
        <v>31</v>
      </c>
      <c r="C29" s="374">
        <f>C33/D27</f>
        <v>0.16969696969696971</v>
      </c>
      <c r="D29" s="373"/>
      <c r="E29" s="372">
        <f>E33/D27</f>
        <v>0</v>
      </c>
      <c r="F29" s="373"/>
      <c r="G29" s="379">
        <f>G33/D27</f>
        <v>0</v>
      </c>
      <c r="H29" s="379"/>
      <c r="I29" s="378">
        <f>C29+E29+G29</f>
        <v>0.16969696969696971</v>
      </c>
      <c r="J29" s="378"/>
    </row>
    <row r="30" spans="1:10" ht="15.75" customHeight="1">
      <c r="B30" s="18" t="s">
        <v>32</v>
      </c>
      <c r="C30" s="357">
        <v>16000</v>
      </c>
      <c r="D30" s="347"/>
      <c r="E30" s="357"/>
      <c r="F30" s="347"/>
      <c r="G30" s="357"/>
      <c r="H30" s="357"/>
      <c r="I30" s="384">
        <f>C30+E30+G30</f>
        <v>16000</v>
      </c>
      <c r="J30" s="384"/>
    </row>
    <row r="31" spans="1:10" ht="15.75" customHeight="1">
      <c r="B31" s="18" t="s">
        <v>33</v>
      </c>
      <c r="C31" s="371">
        <v>7</v>
      </c>
      <c r="D31" s="347"/>
      <c r="E31" s="371"/>
      <c r="F31" s="347"/>
      <c r="G31" s="371"/>
      <c r="H31" s="371"/>
      <c r="I31" s="338"/>
      <c r="J31" s="338"/>
    </row>
    <row r="32" spans="1:10" ht="15.75" customHeight="1">
      <c r="B32" s="18" t="s">
        <v>34</v>
      </c>
      <c r="C32" s="336">
        <f>C31*$I$5/1000000</f>
        <v>5541.0248320000001</v>
      </c>
      <c r="D32" s="373"/>
      <c r="E32" s="336">
        <f>E31*$I$5/1000000</f>
        <v>0</v>
      </c>
      <c r="F32" s="373"/>
      <c r="G32" s="336">
        <f>G31*$I$5/1000000</f>
        <v>0</v>
      </c>
      <c r="H32" s="336"/>
      <c r="I32" s="338"/>
      <c r="J32" s="338"/>
    </row>
    <row r="33" spans="2:11" ht="15.75" customHeight="1">
      <c r="B33" s="2" t="s">
        <v>35</v>
      </c>
      <c r="C33" s="337">
        <f>C30*C31</f>
        <v>112000</v>
      </c>
      <c r="D33" s="386"/>
      <c r="E33" s="337">
        <f>E30*E31</f>
        <v>0</v>
      </c>
      <c r="F33" s="386"/>
      <c r="G33" s="337">
        <f>G30*G31</f>
        <v>0</v>
      </c>
      <c r="H33" s="337"/>
      <c r="I33" s="337">
        <f>C33+E33+G33</f>
        <v>112000</v>
      </c>
      <c r="J33" s="337"/>
    </row>
    <row r="34" spans="2:11" ht="15.75" customHeight="1">
      <c r="B34" s="1" t="s">
        <v>36</v>
      </c>
      <c r="C34" s="338"/>
      <c r="D34" s="341"/>
      <c r="E34" s="340">
        <f>IF(C33=0,"-",(C33+E33)/(C30+E30))</f>
        <v>7</v>
      </c>
      <c r="F34" s="373"/>
      <c r="G34" s="78"/>
      <c r="H34" s="78"/>
      <c r="I34" s="340">
        <f>IF(I33=0,"",I33/I30)</f>
        <v>7</v>
      </c>
      <c r="J34" s="340"/>
    </row>
    <row r="35" spans="2:11" ht="15.75" customHeight="1">
      <c r="B35" s="1" t="s">
        <v>37</v>
      </c>
      <c r="C35" s="342"/>
      <c r="D35" s="343"/>
      <c r="E35" s="339">
        <f>IF(E34="-","-",E34*$I$5/1000000)</f>
        <v>5541.0248320000001</v>
      </c>
      <c r="F35" s="385"/>
      <c r="G35" s="230"/>
      <c r="H35" s="230"/>
      <c r="I35" s="339">
        <f>IF(I34="","",I34*$I$5/1000000)</f>
        <v>5541.0248320000001</v>
      </c>
      <c r="J35" s="339"/>
    </row>
    <row r="36" spans="2:11" ht="15.75" customHeight="1"/>
    <row r="37" spans="2:11" ht="15.75" customHeight="1">
      <c r="B37" s="87" t="s">
        <v>256</v>
      </c>
      <c r="C37" s="334">
        <f>C31</f>
        <v>7</v>
      </c>
      <c r="D37" s="335"/>
      <c r="E37" s="79" t="str">
        <f ca="1">IF(C37&gt;B17,"Caution! &gt; Breakeven price!","")</f>
        <v>Caution! &gt; Breakeven price!</v>
      </c>
      <c r="F37" s="6"/>
      <c r="G37" s="331" t="s">
        <v>316</v>
      </c>
      <c r="H37" s="331"/>
      <c r="I37" s="332">
        <f ca="1">Val_Models!C46</f>
        <v>9.2793954030906143</v>
      </c>
      <c r="J37" s="333"/>
    </row>
    <row r="38" spans="2:11" ht="15.75" customHeight="1">
      <c r="B38" s="87" t="s">
        <v>281</v>
      </c>
      <c r="C38" s="334">
        <f>E34</f>
        <v>7</v>
      </c>
      <c r="D38" s="335"/>
      <c r="E38" s="6"/>
      <c r="F38" s="6"/>
      <c r="G38" s="331" t="s">
        <v>280</v>
      </c>
      <c r="H38" s="331"/>
      <c r="I38" s="332">
        <f ca="1">Val_Models!C47</f>
        <v>4.3838788501121764</v>
      </c>
      <c r="J38" s="333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0.53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0.47107142857142859</v>
      </c>
      <c r="G43" s="77"/>
      <c r="H43" s="77"/>
      <c r="I43" s="77"/>
      <c r="J43" s="77"/>
    </row>
    <row r="44" spans="2:11" ht="15.75" customHeight="1">
      <c r="B44" s="3" t="s">
        <v>337</v>
      </c>
      <c r="C44" s="6"/>
      <c r="D44" s="6"/>
      <c r="E44" s="6"/>
      <c r="F44" s="171">
        <f>AVERAGE(Asset_Model!J28/4,1-Asset_Model!I56)</f>
        <v>0.90024604149680243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0.32562791472723052</v>
      </c>
      <c r="F47" s="171">
        <f ca="1">I37/C38-1</f>
        <v>0.32562791472723052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-0.37373159284111768</v>
      </c>
      <c r="F48" s="171">
        <f ca="1">Val_Models!C47/C38-1</f>
        <v>-0.37373159284111768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0.55545312620225751</v>
      </c>
      <c r="F50" s="171">
        <f ca="1">IF(F47&lt;=0,0,AVERAGE(F41:F44,0.5*(1+F47+F48-C16)))</f>
        <v>0.55545312620225751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0.87128816767080974</v>
      </c>
      <c r="F51" s="234">
        <f ca="1">IF(F48&gt;=0,100,F47/ABS(F48))</f>
        <v>0.87128816767080974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4.1954360864798854</v>
      </c>
      <c r="F52" s="232">
        <f ca="1">MAX(C16*2.5/F47,1)+IF(F47&lt;C16,100,0)+IF(D18&lt;0,100,0)+IF(J20=1,2/(1+F47+F48-C16),0)</f>
        <v>4.1954360864798854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1.0781993244803521E-2</v>
      </c>
      <c r="F53" s="217">
        <f ca="1">MIN(MAX(F50-ABS((1-F50)/F51),0)/F52,H53)</f>
        <v>1.0781993244803521E-2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0" priority="12" operator="lessThan">
      <formula>$B$18</formula>
    </cfRule>
  </conditionalFormatting>
  <conditionalFormatting sqref="B18">
    <cfRule type="cellIs" dxfId="19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8" priority="25" operator="lessThan">
      <formula>0</formula>
    </cfRule>
  </conditionalFormatting>
  <conditionalFormatting sqref="E14">
    <cfRule type="cellIs" dxfId="17" priority="17" operator="greaterThan">
      <formula>$B$16</formula>
    </cfRule>
  </conditionalFormatting>
  <conditionalFormatting sqref="E51:F51">
    <cfRule type="cellIs" dxfId="16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5" priority="13">
      <formula>LEN(TRIM(E28))=0</formula>
    </cfRule>
  </conditionalFormatting>
  <conditionalFormatting sqref="F16">
    <cfRule type="cellIs" dxfId="14" priority="20" operator="greaterThan">
      <formula>$B$16</formula>
    </cfRule>
  </conditionalFormatting>
  <conditionalFormatting sqref="G16">
    <cfRule type="cellIs" dxfId="13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D14" sqref="D1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582451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106072.5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10722361</v>
      </c>
      <c r="D7" s="160">
        <v>7737943</v>
      </c>
      <c r="E7" s="160">
        <v>4526914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0.38568622177754475</v>
      </c>
      <c r="D8" s="149">
        <f t="shared" si="1"/>
        <v>0.70931963805806775</v>
      </c>
      <c r="E8" s="149">
        <f t="shared" si="1"/>
        <v>0.266631747593298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f>9290616+680018+165770</f>
        <v>10136404</v>
      </c>
      <c r="D9" s="148">
        <f>6587154+593824+159734</f>
        <v>7340712</v>
      </c>
      <c r="E9" s="148">
        <f>3634717+423329+146554</f>
        <v>4204600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5.4648132067181845E-2</v>
      </c>
      <c r="D10" s="149">
        <f t="shared" si="2"/>
        <v>5.1335477658597382E-2</v>
      </c>
      <c r="E10" s="149">
        <f t="shared" si="2"/>
        <v>7.1199497052517449E-2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444527</v>
      </c>
      <c r="D11" s="148">
        <v>359473</v>
      </c>
      <c r="E11" s="148">
        <v>228660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4.1457940093604387E-2</v>
      </c>
      <c r="D12" s="149">
        <f t="shared" si="3"/>
        <v>4.6455886273651797E-2</v>
      </c>
      <c r="E12" s="149">
        <f t="shared" si="3"/>
        <v>5.051123127145777E-2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1.319019197357746E-2</v>
      </c>
      <c r="D13" s="149">
        <f t="shared" si="4"/>
        <v>4.8795913849455858E-3</v>
      </c>
      <c r="E13" s="149">
        <f t="shared" si="4"/>
        <v>2.068826578105968E-2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141430</v>
      </c>
      <c r="D14" s="51">
        <f t="shared" si="5"/>
        <v>37758</v>
      </c>
      <c r="E14" s="51">
        <f t="shared" si="5"/>
        <v>93654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2.7456962762858201</v>
      </c>
      <c r="D15" s="149">
        <f t="shared" ref="D15:M15" si="6">IF(E14="","",IF(ABS(D14+E14)=ABS(D14)+ABS(E14),IF(D14&lt;0,-1,1)*(D14-E14)/E14,"Turn"))</f>
        <v>-0.59683515920302388</v>
      </c>
      <c r="E15" s="149">
        <f t="shared" si="6"/>
        <v>7.177679613650409E-2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IF(C14="","",C14*(1-Projections!$F$19))</f>
        <v>106072.5</v>
      </c>
      <c r="D16" s="51">
        <f>IF(D14="","",D14*(1-Projections!$F$19))</f>
        <v>28318.5</v>
      </c>
      <c r="E16" s="51">
        <f>IF(E14="","",E14*(1-Projections!$F$19))</f>
        <v>70240.5</v>
      </c>
      <c r="F16" s="51">
        <f>IF(F14="","",F14*(1-Projections!$F$19))</f>
        <v>65536.5</v>
      </c>
      <c r="G16" s="51" t="str">
        <f>IF(G14="","",G14*(1-Projections!$F$19))</f>
        <v/>
      </c>
      <c r="H16" s="51" t="str">
        <f>IF(H14="","",H14*(1-Projections!$F$19))</f>
        <v/>
      </c>
      <c r="I16" s="51" t="str">
        <f>IF(I14="","",I14*(1-Projections!$F$19))</f>
        <v/>
      </c>
      <c r="J16" s="51" t="str">
        <f>IF(J14="","",J14*(1-Projections!$F$19))</f>
        <v/>
      </c>
      <c r="K16" s="51" t="str">
        <f>IF(K14="","",K14*(1-Projections!$F$19))</f>
        <v/>
      </c>
      <c r="L16" s="51" t="str">
        <f>IF(L14="","",L14*(1-Projections!$F$19))</f>
        <v/>
      </c>
      <c r="M16" s="51" t="str">
        <f>IF(M14="","",M14*(1-Projections!$F$19))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9.8926439801830957E-3</v>
      </c>
      <c r="D17" s="149">
        <f t="shared" si="7"/>
        <v>3.6596935387091891E-3</v>
      </c>
      <c r="E17" s="149">
        <f t="shared" si="7"/>
        <v>1.551619933579476E-2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12361</v>
      </c>
      <c r="D18" s="148">
        <v>915</v>
      </c>
      <c r="E18" s="148">
        <v>578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582451</v>
      </c>
      <c r="D19" s="148">
        <v>327798</v>
      </c>
      <c r="E19" s="148">
        <v>68639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0.77685952934429126</v>
      </c>
      <c r="D20" s="149">
        <f t="shared" ref="D20:M20" si="8">IF(E19="","",IF(ABS(D19+E19)=ABS(D19)+ABS(E19),IF(D19&lt;0,-1,1)*(D19-E19)/E19,"Turn"))</f>
        <v>3.7756814638907907</v>
      </c>
      <c r="E20" s="149">
        <f t="shared" si="8"/>
        <v>1.7433653077537969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412</v>
      </c>
      <c r="C21" s="150">
        <v>8283100</v>
      </c>
      <c r="D21" s="148">
        <v>5543164</v>
      </c>
      <c r="E21" s="148">
        <v>3829838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6610566</v>
      </c>
      <c r="D22" s="148">
        <v>4853186</v>
      </c>
      <c r="E22" s="148">
        <v>3307006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4103125</v>
      </c>
      <c r="D23" s="148">
        <v>2168053</v>
      </c>
      <c r="E23" s="148">
        <v>1037232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643680</v>
      </c>
      <c r="D24" s="148">
        <v>11513</v>
      </c>
      <c r="E24" s="148">
        <v>9495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7392</v>
      </c>
      <c r="D25" s="152">
        <v>11513</v>
      </c>
      <c r="E25" s="152">
        <v>9495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35314</v>
      </c>
      <c r="D26" s="148">
        <v>11042</v>
      </c>
      <c r="E26" s="148">
        <v>9934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4402</v>
      </c>
      <c r="D27" s="152">
        <v>11042</v>
      </c>
      <c r="E27" s="152">
        <v>9934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678994</v>
      </c>
      <c r="D28" s="51">
        <f t="shared" si="9"/>
        <v>22555</v>
      </c>
      <c r="E28" s="51">
        <f t="shared" si="9"/>
        <v>19429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4115773</v>
      </c>
      <c r="D29" s="148">
        <v>3345625</v>
      </c>
      <c r="E29" s="148">
        <v>2767154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4064698</v>
      </c>
      <c r="D30" s="152">
        <v>3032424</v>
      </c>
      <c r="E30" s="152">
        <v>2709936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354</v>
      </c>
      <c r="C31" s="150">
        <v>1490300</v>
      </c>
      <c r="D31" s="148">
        <v>583434</v>
      </c>
      <c r="E31" s="148">
        <v>467046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2818823</v>
      </c>
      <c r="D32" s="148">
        <v>2267118</v>
      </c>
      <c r="E32" s="148">
        <v>1627531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346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394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IF(D7="","",(C7-D7)*Asset_Model!$D$68)</f>
        <v>1023356.9321999999</v>
      </c>
      <c r="D35" s="154">
        <f>IF(E7="","",(D7-E7)*Asset_Model!$D$68)</f>
        <v>1101061.8440999999</v>
      </c>
      <c r="E35" s="154">
        <f>IF(F7="","",(E7-F7)*Asset_Model!$D$68)</f>
        <v>326761.75439999998</v>
      </c>
      <c r="F35" s="154" t="str">
        <f>IF(G7="","",(F7-G7)*Asset_Model!$D$68)</f>
        <v/>
      </c>
      <c r="G35" s="154" t="str">
        <f>IF(H7="","",(G7-H7)*Asset_Model!$D$68)</f>
        <v/>
      </c>
      <c r="H35" s="154" t="str">
        <f>IF(I7="","",(H7-I7)*Asset_Model!$D$68)</f>
        <v/>
      </c>
      <c r="I35" s="154" t="str">
        <f>IF(J7="","",(I7-J7)*Asset_Model!$D$68)</f>
        <v/>
      </c>
      <c r="J35" s="154" t="str">
        <f>IF(K7="","",(J7-K7)*Asset_Model!$D$68)</f>
        <v/>
      </c>
      <c r="K35" s="154" t="str">
        <f>IF(L7="","",(K7-L7)*Asset_Model!$D$68)</f>
        <v/>
      </c>
      <c r="L35" s="154" t="str">
        <f>IF(M7="","",(L7-M7)*Asset_Model!$D$68)</f>
        <v/>
      </c>
      <c r="M35" s="154" t="str">
        <f>IF(N7="","",(M7-N7)*Asset_Model!$D$68)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2199356.9321999997</v>
      </c>
      <c r="D36" s="51">
        <f t="shared" si="11"/>
        <v>1348061.8440999999</v>
      </c>
      <c r="E36" s="51">
        <f t="shared" si="11"/>
        <v>382761.75439999998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345</v>
      </c>
      <c r="C37" s="149">
        <f>IF(C36="","",C33/C7)</f>
        <v>0.10967733692234388</v>
      </c>
      <c r="D37" s="149">
        <f t="shared" ref="D37:M37" si="12">IF(D36="","",D33/D7)</f>
        <v>3.1920628001524433E-2</v>
      </c>
      <c r="E37" s="149">
        <f t="shared" si="12"/>
        <v>1.237045810898992E-2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348</v>
      </c>
      <c r="C38" s="158">
        <f t="shared" ref="C38:M38" si="13">IF(C36="","",C33/C16)</f>
        <v>11.086756699427278</v>
      </c>
      <c r="D38" s="158">
        <f t="shared" si="13"/>
        <v>8.722213394071014</v>
      </c>
      <c r="E38" s="158">
        <f t="shared" si="13"/>
        <v>0.79726083954413762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182000</v>
      </c>
      <c r="D40" s="163">
        <v>36302</v>
      </c>
      <c r="E40" s="163">
        <v>37000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0.22992136628634405</v>
      </c>
      <c r="D42" s="162">
        <f t="shared" si="14"/>
        <v>4.5860469444653086E-2</v>
      </c>
      <c r="E42" s="162">
        <f t="shared" si="14"/>
        <v>4.6742255783487528E-2</v>
      </c>
      <c r="F42" s="162">
        <f t="shared" si="14"/>
        <v>9.2878125546000077E-3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384</v>
      </c>
      <c r="C45" s="166">
        <f>IF(C30="","",(C21-C30)/C21)</f>
        <v>0.50927816880153565</v>
      </c>
      <c r="D45" s="166">
        <f>IF(D30="","",(D21-D30)/D21)</f>
        <v>0.45294348137634027</v>
      </c>
      <c r="E45" s="166">
        <f t="shared" ref="E45:M45" si="16">IF(E30="","",(E21-E30)/E21)</f>
        <v>0.2924149794325504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396</v>
      </c>
      <c r="C46" s="149">
        <f t="shared" ref="C46:M46" si="17">IF(C30="","",C28/C30)</f>
        <v>0.16704660469240273</v>
      </c>
      <c r="D46" s="149">
        <f t="shared" si="17"/>
        <v>7.4379440342115747E-3</v>
      </c>
      <c r="E46" s="149">
        <f t="shared" si="17"/>
        <v>7.1695420113242524E-3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0.20829344589201082</v>
      </c>
      <c r="D47" s="165">
        <f t="shared" si="18"/>
        <v>1.6740412325426735</v>
      </c>
      <c r="E47" s="165">
        <f t="shared" si="18"/>
        <v>4.8203201399969116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8.7400127271441697E-2</v>
      </c>
      <c r="D48" s="149">
        <f>IF(D14="","",IF(D18&lt;=0,"-",D18/D14))</f>
        <v>2.4233275067535358E-2</v>
      </c>
      <c r="E48" s="149">
        <f t="shared" ref="E48:M48" si="19">IF(E14="","",IF(E18&lt;=0,"-",E18/E14))</f>
        <v>6.1716531061139944E-3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1.6111051942117289</v>
      </c>
      <c r="D49" s="167">
        <f t="shared" si="20"/>
        <v>2.238499704573643</v>
      </c>
      <c r="E49" s="167">
        <f t="shared" si="20"/>
        <v>3.188299242599534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1.319019197357746E-2</v>
      </c>
      <c r="D51" s="166">
        <f t="shared" si="21"/>
        <v>4.8795913849455858E-3</v>
      </c>
      <c r="E51" s="166">
        <f t="shared" si="21"/>
        <v>2.068826578105968E-2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1.2944864845287392</v>
      </c>
      <c r="D52" s="149">
        <f>IF(D7="","",D7/D21)</f>
        <v>1.395943363753986</v>
      </c>
      <c r="E52" s="149">
        <f t="shared" ref="E52:M52" si="22">IF(E7="","",E7/E21)</f>
        <v>1.182011876220352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416</v>
      </c>
      <c r="C53" s="168">
        <f>C21/C29</f>
        <v>2.0125259580642565</v>
      </c>
      <c r="D53" s="168">
        <f>IF(D29="","",D21/D29)</f>
        <v>1.6568396039603961</v>
      </c>
      <c r="E53" s="168">
        <f t="shared" ref="E53:M53" si="23">IF(E29="","",E21/E29)</f>
        <v>1.3840350049184107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415</v>
      </c>
      <c r="C54" s="149">
        <f>C51*C52*C53</f>
        <v>3.4362925263370932E-2</v>
      </c>
      <c r="D54" s="149">
        <f>IF(D51="","",D51*D52*D53)</f>
        <v>1.1285783672706894E-2</v>
      </c>
      <c r="E54" s="149">
        <f t="shared" ref="E54:M54" si="24">IF(E51="","",E51*E52*E53)</f>
        <v>3.3844881781064588E-2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0.38097339187559653</v>
      </c>
      <c r="D55" s="158">
        <f>IF(D38="","",D38*D54)</f>
        <v>9.8437013512672034E-2</v>
      </c>
      <c r="E55" s="158">
        <f t="shared" ref="E55:M55" si="25">IF(E38="","",E38*E54)</f>
        <v>2.698319886304364E-2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2" priority="2">
      <formula>$C$58="No"</formula>
    </cfRule>
  </conditionalFormatting>
  <conditionalFormatting sqref="C7:M38 D45:M49 D51:M55">
    <cfRule type="containsBlanks" dxfId="11" priority="5">
      <formula>LEN(TRIM(C7))=0</formula>
    </cfRule>
  </conditionalFormatting>
  <conditionalFormatting sqref="C40:M43">
    <cfRule type="containsBlanks" dxfId="10" priority="7">
      <formula>LEN(TRIM(C40))=0</formula>
    </cfRule>
  </conditionalFormatting>
  <conditionalFormatting sqref="D17:M18">
    <cfRule type="containsBlanks" dxfId="9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abSelected="1" topLeftCell="A32" zoomScaleNormal="100" workbookViewId="0">
      <selection activeCell="I28" sqref="I28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4086917</v>
      </c>
      <c r="E3" s="191" t="str">
        <f>IF((C49-I49)=D3,"", "Error!")</f>
        <v/>
      </c>
      <c r="F3" s="6"/>
      <c r="G3" s="6"/>
      <c r="H3" s="112" t="s">
        <v>216</v>
      </c>
      <c r="I3" s="163">
        <v>4036311</v>
      </c>
      <c r="K3" s="43"/>
    </row>
    <row r="4" spans="1:11" ht="15" customHeight="1">
      <c r="B4" s="5" t="s">
        <v>193</v>
      </c>
      <c r="C4" s="6"/>
      <c r="D4" s="186">
        <f>D3-I3</f>
        <v>50606</v>
      </c>
      <c r="E4" s="90"/>
      <c r="F4" s="6"/>
      <c r="G4" s="6"/>
      <c r="H4" s="38" t="s">
        <v>71</v>
      </c>
      <c r="I4" s="139">
        <f>(I3*Dashboard!I12*Data!C4)/Dashboard!I5</f>
        <v>5.0990886806406577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318</v>
      </c>
      <c r="C6" s="6"/>
      <c r="D6" s="193">
        <f>E49-I49-E53</f>
        <v>1051142.5712913082</v>
      </c>
      <c r="E6" s="149">
        <f>1-D6/D3</f>
        <v>0.74280305391782897</v>
      </c>
      <c r="F6" s="6"/>
      <c r="G6" s="6"/>
      <c r="H6" s="3" t="s">
        <v>257</v>
      </c>
      <c r="I6" s="184">
        <f>C28/I28</f>
        <v>1.5955561828725568</v>
      </c>
      <c r="J6" s="6"/>
      <c r="K6" s="43"/>
    </row>
    <row r="7" spans="1:11" ht="15" customHeight="1" thickTop="1">
      <c r="B7" s="32" t="s">
        <v>319</v>
      </c>
      <c r="C7" s="6"/>
      <c r="D7" s="187">
        <f>MAX((D6*Exchange_Rate*Data!C4)/Common_Shares, 0)</f>
        <v>1.3279128360057053</v>
      </c>
      <c r="E7" s="18" t="str">
        <f>Dashboard!J4</f>
        <v>HKD</v>
      </c>
      <c r="H7" s="3" t="s">
        <v>258</v>
      </c>
      <c r="I7" s="184">
        <f>C25/I28</f>
        <v>0.62572409874452151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0.56938210481743268</v>
      </c>
      <c r="K8" s="43"/>
    </row>
    <row r="9" spans="1:11" ht="15" customHeight="1">
      <c r="A9" s="4"/>
      <c r="B9" s="111" t="s">
        <v>211</v>
      </c>
      <c r="C9" s="84"/>
      <c r="D9" s="188">
        <v>44742</v>
      </c>
      <c r="E9" s="189" t="s">
        <v>425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4" t="s">
        <v>74</v>
      </c>
      <c r="D10" s="284" t="s">
        <v>75</v>
      </c>
      <c r="E10" s="284" t="s">
        <v>76</v>
      </c>
      <c r="F10" s="285" t="s">
        <v>202</v>
      </c>
      <c r="G10" s="6"/>
      <c r="H10" s="40" t="s">
        <v>77</v>
      </c>
      <c r="I10" s="284" t="s">
        <v>74</v>
      </c>
      <c r="K10" s="43"/>
    </row>
    <row r="11" spans="1:11" ht="15" customHeight="1">
      <c r="B11" s="5" t="s">
        <v>78</v>
      </c>
      <c r="C11" s="179">
        <v>2356066</v>
      </c>
      <c r="D11" s="180">
        <v>1</v>
      </c>
      <c r="E11" s="51">
        <f t="shared" ref="E11:E21" si="0">C11*D11</f>
        <v>2356066</v>
      </c>
      <c r="F11" s="6"/>
      <c r="G11" s="6"/>
      <c r="H11" s="5" t="s">
        <v>79</v>
      </c>
      <c r="I11" s="179">
        <v>713142</v>
      </c>
      <c r="J11" s="6"/>
      <c r="K11" s="43"/>
    </row>
    <row r="12" spans="1:11" ht="14">
      <c r="B12" s="3" t="s">
        <v>80</v>
      </c>
      <c r="C12" s="179">
        <v>3815</v>
      </c>
      <c r="D12" s="180">
        <v>1</v>
      </c>
      <c r="E12" s="51">
        <f t="shared" si="0"/>
        <v>3815</v>
      </c>
      <c r="F12" s="6"/>
      <c r="G12" s="6"/>
      <c r="H12" s="5" t="s">
        <v>81</v>
      </c>
      <c r="I12" s="179">
        <v>8052</v>
      </c>
      <c r="J12" s="6"/>
      <c r="K12" s="43"/>
    </row>
    <row r="13" spans="1:11" ht="14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4">
      <c r="B14" s="5" t="s">
        <v>84</v>
      </c>
      <c r="C14" s="179">
        <v>0</v>
      </c>
      <c r="D14" s="180">
        <v>0.7</v>
      </c>
      <c r="E14" s="51">
        <f t="shared" si="0"/>
        <v>0</v>
      </c>
      <c r="F14" s="6"/>
      <c r="G14" s="6"/>
      <c r="H14" s="6" t="s">
        <v>352</v>
      </c>
      <c r="I14" s="179">
        <v>0</v>
      </c>
      <c r="J14" s="6"/>
      <c r="K14" s="47"/>
    </row>
    <row r="15" spans="1:11" ht="14">
      <c r="B15" s="5" t="s">
        <v>86</v>
      </c>
      <c r="C15" s="179">
        <v>47</v>
      </c>
      <c r="D15" s="180">
        <v>0.5</v>
      </c>
      <c r="E15" s="51">
        <f t="shared" si="0"/>
        <v>23.5</v>
      </c>
      <c r="F15" s="6"/>
      <c r="G15" s="6"/>
      <c r="H15" s="5" t="s">
        <v>87</v>
      </c>
      <c r="I15" s="130">
        <f>I28-SUM(I11:I14)</f>
        <v>3423441</v>
      </c>
      <c r="J15" s="6"/>
    </row>
    <row r="16" spans="1:11" ht="14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4">
      <c r="B17" s="5" t="s">
        <v>351</v>
      </c>
      <c r="C17" s="179">
        <v>2593351</v>
      </c>
      <c r="D17" s="180">
        <v>0.6</v>
      </c>
      <c r="E17" s="51">
        <f t="shared" si="0"/>
        <v>1556010.5999999999</v>
      </c>
      <c r="F17" s="6"/>
      <c r="G17" s="6"/>
      <c r="H17" s="5"/>
      <c r="I17" s="94"/>
      <c r="J17" s="6"/>
    </row>
    <row r="18" spans="2:10" ht="14">
      <c r="B18" s="5" t="s">
        <v>88</v>
      </c>
      <c r="C18" s="179">
        <v>1657586</v>
      </c>
      <c r="D18" s="180">
        <v>0.5</v>
      </c>
      <c r="E18" s="51">
        <f t="shared" si="0"/>
        <v>828793</v>
      </c>
      <c r="F18" s="6"/>
      <c r="G18" s="6"/>
      <c r="H18" s="6"/>
      <c r="I18" s="6"/>
    </row>
    <row r="19" spans="2:10" ht="14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4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4">
      <c r="B21" s="5" t="s">
        <v>91</v>
      </c>
      <c r="C21" s="179">
        <v>2133</v>
      </c>
      <c r="D21" s="180">
        <v>0.95</v>
      </c>
      <c r="E21" s="51">
        <f t="shared" si="0"/>
        <v>2026.35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5" t="s">
        <v>436</v>
      </c>
      <c r="G23" s="6"/>
      <c r="H23" s="6"/>
      <c r="I23" s="6"/>
    </row>
    <row r="24" spans="2:10" ht="15" customHeight="1">
      <c r="B24" s="41" t="s">
        <v>426</v>
      </c>
      <c r="C24" s="182">
        <f>SUM(C11:C14)</f>
        <v>2359881</v>
      </c>
      <c r="D24" s="183">
        <f>IF(E24=0,0,E24/C24)</f>
        <v>1</v>
      </c>
      <c r="E24" s="51">
        <f>SUM(E11:E14)</f>
        <v>2359881</v>
      </c>
      <c r="F24" s="233">
        <f>E24/$E$28</f>
        <v>0.49715884148522366</v>
      </c>
      <c r="G24" s="6"/>
      <c r="H24" s="3" t="s">
        <v>434</v>
      </c>
      <c r="I24" s="327">
        <f>I11+I12+I13</f>
        <v>721194</v>
      </c>
    </row>
    <row r="25" spans="2:10" ht="15" customHeight="1">
      <c r="B25" s="41" t="s">
        <v>430</v>
      </c>
      <c r="C25" s="182">
        <f>SUM(C15:C17)</f>
        <v>2593398</v>
      </c>
      <c r="D25" s="183">
        <f>IF(E25=0,0,E25/C25)</f>
        <v>0.59999818770585922</v>
      </c>
      <c r="E25" s="51">
        <f>SUM(E15:E17)</f>
        <v>1556034.0999999999</v>
      </c>
      <c r="F25" s="233">
        <f t="shared" ref="F25:F27" si="2">E25/$E$28</f>
        <v>0.32781149154025252</v>
      </c>
      <c r="G25" s="6"/>
      <c r="H25" s="41" t="s">
        <v>437</v>
      </c>
      <c r="I25" s="184">
        <f>E28/I28</f>
        <v>1.1452720082709331</v>
      </c>
    </row>
    <row r="26" spans="2:10" ht="15" customHeight="1">
      <c r="B26" s="41" t="s">
        <v>428</v>
      </c>
      <c r="C26" s="182">
        <f>C18+C19+C20</f>
        <v>1657586</v>
      </c>
      <c r="D26" s="183">
        <f t="shared" ref="D26:D27" si="3">IF(E26=0,0,E26/C26)</f>
        <v>0.5</v>
      </c>
      <c r="E26" s="51">
        <f>E18+E19+E20</f>
        <v>828793</v>
      </c>
      <c r="F26" s="233">
        <f t="shared" si="2"/>
        <v>0.17460277349199513</v>
      </c>
      <c r="G26" s="6"/>
      <c r="H26" s="41" t="s">
        <v>260</v>
      </c>
      <c r="I26" s="184">
        <f>E24/($I$28-I15)</f>
        <v>3.272186124676578</v>
      </c>
      <c r="J26" s="13" t="str">
        <f>IF(I26&lt;1,"Liquidity Problem!","")</f>
        <v/>
      </c>
    </row>
    <row r="27" spans="2:10" ht="15" customHeight="1">
      <c r="B27" s="41" t="s">
        <v>429</v>
      </c>
      <c r="C27" s="320">
        <f>C21+C22</f>
        <v>2133</v>
      </c>
      <c r="D27" s="183">
        <f t="shared" si="3"/>
        <v>0.95</v>
      </c>
      <c r="E27" s="51">
        <f>E21+E22</f>
        <v>2026.35</v>
      </c>
      <c r="F27" s="233">
        <f t="shared" si="2"/>
        <v>4.2689348252881521E-4</v>
      </c>
      <c r="G27" s="6"/>
      <c r="H27" s="41" t="s">
        <v>264</v>
      </c>
      <c r="I27" s="184">
        <f>(E25+E24)/$I$28</f>
        <v>0.9448154300680276</v>
      </c>
      <c r="J27" s="13" t="str">
        <f>IF(OR(I27&lt;0.75,C28&lt;I28),"Liquidity Problem!","")</f>
        <v/>
      </c>
    </row>
    <row r="28" spans="2:10" ht="15" customHeight="1">
      <c r="B28" s="321" t="s">
        <v>93</v>
      </c>
      <c r="C28" s="322">
        <f>SUM(C24:C27)</f>
        <v>6612998</v>
      </c>
      <c r="D28" s="166">
        <f t="shared" ref="D28" si="4">E28/C28</f>
        <v>0.71778858091292319</v>
      </c>
      <c r="E28" s="212">
        <f>SUM(E24:E27)</f>
        <v>4746734.4499999993</v>
      </c>
      <c r="F28" s="6"/>
      <c r="G28" s="6"/>
      <c r="H28" s="321" t="s">
        <v>53</v>
      </c>
      <c r="I28" s="190">
        <v>4144635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72207</v>
      </c>
      <c r="J30" s="6"/>
    </row>
    <row r="31" spans="2:10" ht="15" customHeight="1">
      <c r="B31" s="5" t="s">
        <v>96</v>
      </c>
      <c r="C31" s="179">
        <v>0</v>
      </c>
      <c r="D31" s="180">
        <v>0.7</v>
      </c>
      <c r="E31" s="51">
        <f t="shared" ref="E31:E42" si="5">C31*D31</f>
        <v>0</v>
      </c>
      <c r="F31" s="6"/>
      <c r="G31" s="6"/>
      <c r="H31" s="5" t="s">
        <v>97</v>
      </c>
      <c r="I31" s="179">
        <v>11875</v>
      </c>
      <c r="J31" s="6"/>
    </row>
    <row r="32" spans="2:10" ht="15" customHeight="1">
      <c r="B32" s="5" t="s">
        <v>98</v>
      </c>
      <c r="C32" s="179">
        <v>42515</v>
      </c>
      <c r="D32" s="180">
        <v>0.5</v>
      </c>
      <c r="E32" s="51">
        <f t="shared" si="5"/>
        <v>21257.5</v>
      </c>
      <c r="F32" s="6"/>
      <c r="G32" s="6"/>
      <c r="H32" s="5" t="s">
        <v>100</v>
      </c>
      <c r="I32" s="179">
        <v>0</v>
      </c>
      <c r="J32" s="6"/>
    </row>
    <row r="33" spans="2:10" ht="14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353</v>
      </c>
      <c r="I33" s="179">
        <v>0</v>
      </c>
      <c r="J33" s="6"/>
    </row>
    <row r="34" spans="2:10" ht="14">
      <c r="B34" s="5" t="s">
        <v>101</v>
      </c>
      <c r="C34" s="179">
        <v>0</v>
      </c>
      <c r="D34" s="180">
        <v>0.4</v>
      </c>
      <c r="E34" s="51">
        <f t="shared" si="5"/>
        <v>0</v>
      </c>
      <c r="F34" s="6"/>
      <c r="G34" s="6"/>
      <c r="H34" s="5" t="s">
        <v>102</v>
      </c>
      <c r="I34" s="130">
        <f>I48-SUM(I30:I33)</f>
        <v>133710</v>
      </c>
      <c r="J34" s="6"/>
    </row>
    <row r="35" spans="2:10" ht="14">
      <c r="B35" s="5" t="s">
        <v>103</v>
      </c>
      <c r="C35" s="179">
        <v>10891</v>
      </c>
      <c r="D35" s="180">
        <v>0.5</v>
      </c>
      <c r="E35" s="51">
        <f t="shared" si="5"/>
        <v>5445.5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4">
      <c r="B36" s="5" t="s">
        <v>104</v>
      </c>
      <c r="C36" s="179">
        <v>0</v>
      </c>
      <c r="D36" s="180">
        <v>0.7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4">
      <c r="B37" s="3" t="s">
        <v>90</v>
      </c>
      <c r="C37" s="179">
        <v>0</v>
      </c>
      <c r="D37" s="180">
        <v>0.4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1701740+43976</f>
        <v>1745716</v>
      </c>
      <c r="D38" s="180">
        <v>0.4</v>
      </c>
      <c r="E38" s="51">
        <f t="shared" si="5"/>
        <v>698286.4</v>
      </c>
      <c r="F38" s="6"/>
      <c r="G38" s="6"/>
      <c r="H38" s="6"/>
      <c r="I38" s="6"/>
    </row>
    <row r="39" spans="2:10" ht="14">
      <c r="B39" s="5" t="s">
        <v>251</v>
      </c>
      <c r="C39" s="179">
        <v>0</v>
      </c>
      <c r="D39" s="180">
        <v>0.5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24485</v>
      </c>
      <c r="D40" s="180">
        <v>0.1</v>
      </c>
      <c r="E40" s="51">
        <f t="shared" si="5"/>
        <v>2448.5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12739</v>
      </c>
      <c r="D41" s="180">
        <v>0.95</v>
      </c>
      <c r="E41" s="51">
        <f t="shared" si="5"/>
        <v>12102.05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427</v>
      </c>
      <c r="C44" s="182">
        <f>SUM(C30:C31)</f>
        <v>0</v>
      </c>
      <c r="D44" s="183">
        <f>IF(E44=0,0,E44/C44)</f>
        <v>0</v>
      </c>
      <c r="E44" s="51">
        <f>SUM(E30:E31)</f>
        <v>0</v>
      </c>
      <c r="F44" s="233"/>
      <c r="G44" s="6"/>
      <c r="H44" s="3" t="s">
        <v>435</v>
      </c>
      <c r="I44" s="327">
        <f>I30+I31+I32</f>
        <v>84082</v>
      </c>
    </row>
    <row r="45" spans="2:10" ht="15" customHeight="1">
      <c r="B45" s="41" t="s">
        <v>431</v>
      </c>
      <c r="C45" s="182">
        <f>SUM(C32:C35)</f>
        <v>53406</v>
      </c>
      <c r="D45" s="183">
        <f>IF(E45=0,0,E45/C45)</f>
        <v>0.5</v>
      </c>
      <c r="E45" s="51">
        <f>SUM(E32:E35)</f>
        <v>26703</v>
      </c>
      <c r="F45" s="233"/>
      <c r="G45" s="6"/>
    </row>
    <row r="46" spans="2:10" ht="15" customHeight="1">
      <c r="B46" s="41" t="s">
        <v>432</v>
      </c>
      <c r="C46" s="182">
        <f>C36+C37+C38+C39</f>
        <v>1745716</v>
      </c>
      <c r="D46" s="183">
        <f t="shared" ref="D46:D47" si="6">IF(E46=0,0,E46/C46)</f>
        <v>0.4</v>
      </c>
      <c r="E46" s="51">
        <f>E36+E37+E38+E39</f>
        <v>698286.4</v>
      </c>
      <c r="F46" s="6"/>
      <c r="G46" s="6"/>
      <c r="H46" s="41" t="s">
        <v>261</v>
      </c>
      <c r="I46" s="184">
        <f>(E44+E24)/D55</f>
        <v>2.9305244413095632</v>
      </c>
      <c r="J46" s="13" t="str">
        <f>IF(I46&lt;1,"Liquidity Problem!","")</f>
        <v/>
      </c>
    </row>
    <row r="47" spans="2:10" ht="15" customHeight="1">
      <c r="B47" s="41" t="s">
        <v>433</v>
      </c>
      <c r="C47" s="182">
        <f>C40+C41+C42</f>
        <v>37224</v>
      </c>
      <c r="D47" s="183">
        <f t="shared" si="6"/>
        <v>0.39089162905652264</v>
      </c>
      <c r="E47" s="51">
        <f>E40+E41+E42</f>
        <v>14550.55</v>
      </c>
      <c r="F47" s="6"/>
      <c r="G47" s="6"/>
      <c r="H47" s="41" t="s">
        <v>265</v>
      </c>
      <c r="I47" s="184">
        <f>(E44+E45+E24+E25)/$I$49</f>
        <v>0.90376712320916763</v>
      </c>
      <c r="J47" s="13" t="str">
        <f>IF(OR(I47&lt;0.5,C49&lt;I49),"Liquidity Problem!","")</f>
        <v/>
      </c>
    </row>
    <row r="48" spans="2:10" ht="15" customHeight="1" thickBot="1">
      <c r="B48" s="323" t="s">
        <v>108</v>
      </c>
      <c r="C48" s="324">
        <f>SUM(C30:C42)</f>
        <v>1836346</v>
      </c>
      <c r="D48" s="325">
        <f>E48/C48</f>
        <v>0.40272364249438836</v>
      </c>
      <c r="E48" s="319">
        <f>SUM(E30:E42)</f>
        <v>739539.95000000007</v>
      </c>
      <c r="F48" s="6"/>
      <c r="G48" s="6"/>
      <c r="H48" s="323" t="s">
        <v>109</v>
      </c>
      <c r="I48" s="326">
        <v>217792</v>
      </c>
      <c r="J48" s="13"/>
    </row>
    <row r="49" spans="2:10" ht="15" customHeight="1" thickTop="1">
      <c r="B49" s="5" t="s">
        <v>412</v>
      </c>
      <c r="C49" s="182">
        <f>SUM(C44:C47)+C28</f>
        <v>8449344</v>
      </c>
      <c r="D49" s="149">
        <f>E49/C49</f>
        <v>0.64931365085857551</v>
      </c>
      <c r="E49" s="51">
        <f>E28+E48</f>
        <v>5486274.3999999994</v>
      </c>
      <c r="F49" s="6"/>
      <c r="G49" s="6"/>
      <c r="H49" s="5" t="s">
        <v>262</v>
      </c>
      <c r="I49" s="130">
        <f>I28+I48</f>
        <v>4362427</v>
      </c>
      <c r="J49" s="6"/>
    </row>
    <row r="50" spans="2:10" ht="15" customHeight="1">
      <c r="C50" s="6"/>
      <c r="D50" s="6"/>
      <c r="E50" s="6"/>
      <c r="I50" s="6"/>
    </row>
    <row r="51" spans="2:10" ht="14">
      <c r="B51" s="17" t="s">
        <v>110</v>
      </c>
      <c r="C51" s="17"/>
      <c r="D51" s="31"/>
    </row>
    <row r="52" spans="2:10" ht="14">
      <c r="B52" s="105" t="s">
        <v>182</v>
      </c>
      <c r="C52" s="6"/>
      <c r="D52" s="284" t="str">
        <f>IF(E53=D4,"BV of the MI","P/B Approach")</f>
        <v>P/B Approach</v>
      </c>
      <c r="E52" s="6"/>
      <c r="F52" s="6"/>
      <c r="G52" s="6"/>
      <c r="H52" s="6"/>
      <c r="I52" s="6"/>
    </row>
    <row r="53" spans="2:10" ht="14">
      <c r="B53" s="5" t="s">
        <v>181</v>
      </c>
      <c r="C53" s="51">
        <f>D4</f>
        <v>50606</v>
      </c>
      <c r="D53" s="54">
        <f>IF(E53=0, 0,E53/C53)</f>
        <v>1.4366839645237965</v>
      </c>
      <c r="E53" s="51">
        <f>MAX(C53,C53*Dashboard!I10)</f>
        <v>72704.828708691246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5" thickBot="1">
      <c r="B55" s="44" t="s">
        <v>221</v>
      </c>
      <c r="C55" s="5"/>
      <c r="D55" s="387">
        <f>D56+D57+D58</f>
        <v>805276</v>
      </c>
      <c r="E55" s="388"/>
      <c r="F55" s="5"/>
      <c r="G55" s="5"/>
      <c r="H55" s="6"/>
      <c r="I55" s="6"/>
    </row>
    <row r="56" spans="2:10" ht="14.5" thickTop="1">
      <c r="B56" s="37" t="s">
        <v>197</v>
      </c>
      <c r="C56" s="6"/>
      <c r="D56" s="384">
        <f>SUM(I11:I13)+SUM(I30:I32)</f>
        <v>805276</v>
      </c>
      <c r="E56" s="389"/>
      <c r="F56" s="5"/>
      <c r="G56" s="5"/>
      <c r="H56" s="6" t="s">
        <v>263</v>
      </c>
      <c r="I56" s="149">
        <f>D56/I3</f>
        <v>0.1995079170063952</v>
      </c>
    </row>
    <row r="57" spans="2:10" ht="14">
      <c r="B57" s="37" t="s">
        <v>112</v>
      </c>
      <c r="C57" s="6"/>
      <c r="D57" s="394">
        <v>0</v>
      </c>
      <c r="E57" s="347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94">
        <v>0</v>
      </c>
      <c r="E58" s="347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4">
      <c r="B60" s="44" t="s">
        <v>115</v>
      </c>
      <c r="C60" s="5"/>
      <c r="D60" s="285" t="s">
        <v>350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53453</v>
      </c>
      <c r="D61" s="149">
        <f>IF(E61=0,0,E61/C61)</f>
        <v>0.5</v>
      </c>
      <c r="E61" s="130">
        <f>E14+E15+(E19*G19)+(E20*G20)+E31+E32+(E33*G33)+(E35*G35)+(E36*G36)+(E37*G37)</f>
        <v>26726.5</v>
      </c>
      <c r="F61" s="6"/>
      <c r="G61" s="6"/>
      <c r="H61" s="6"/>
      <c r="I61" s="6"/>
    </row>
    <row r="62" spans="2:10" ht="14">
      <c r="B62" s="32" t="s">
        <v>78</v>
      </c>
      <c r="C62" s="192">
        <f>C11+C12+C30</f>
        <v>2359881</v>
      </c>
      <c r="D62" s="54">
        <f>IF(E62=0,0,E62/C62)</f>
        <v>1</v>
      </c>
      <c r="E62" s="182">
        <f>E11+E12+E30</f>
        <v>2359881</v>
      </c>
      <c r="F62" s="6"/>
      <c r="G62" s="6"/>
      <c r="H62" s="6"/>
      <c r="I62" s="6"/>
    </row>
    <row r="63" spans="2:10" ht="14">
      <c r="B63" s="32" t="s">
        <v>116</v>
      </c>
      <c r="C63" s="6"/>
      <c r="D63" s="384">
        <f>((Dashboard!I6*Data!C4)+D55+E53-C61-C62)</f>
        <v>4377711.8994286917</v>
      </c>
      <c r="E63" s="384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92">
        <f>((C28-C11-C12-C14-C15-C16*G16-C19*G19-C20*G20)-I28)/Data!C7</f>
        <v>1.0112977915964591E-2</v>
      </c>
      <c r="E66" s="393"/>
      <c r="F66" s="6"/>
      <c r="G66" s="6"/>
      <c r="H66" s="6"/>
      <c r="I66" s="6"/>
    </row>
    <row r="67" spans="2:9" ht="15" customHeight="1">
      <c r="B67" s="3" t="s">
        <v>222</v>
      </c>
      <c r="C67" s="6"/>
      <c r="D67" s="390">
        <v>0.34289999999999998</v>
      </c>
      <c r="E67" s="391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90">
        <v>0.34289999999999998</v>
      </c>
      <c r="E68" s="391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disablePrompts="1"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942"/>
  <sheetViews>
    <sheetView showGridLines="0" zoomScaleNormal="100" zoomScalePageLayoutView="80" workbookViewId="0">
      <selection activeCell="F20" sqref="F20"/>
    </sheetView>
  </sheetViews>
  <sheetFormatPr defaultColWidth="12.453125" defaultRowHeight="15" customHeight="1"/>
  <cols>
    <col min="1" max="1" width="2.453125" style="3" customWidth="1"/>
    <col min="2" max="5" width="26.81640625" style="3" customWidth="1"/>
    <col min="6" max="9" width="22.7265625" style="3" customWidth="1"/>
    <col min="10" max="10" width="2.453125" style="3" customWidth="1"/>
    <col min="11" max="11" width="87.453125" style="3" customWidth="1"/>
    <col min="12" max="16384" width="12.45312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56"/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IF(H10="","",EOMONTH(EDATE(G3,12),0))</f>
        <v/>
      </c>
      <c r="I3" s="194" t="str">
        <f>IF(I17="","",EOMONTH(EDATE(H3,12),0))</f>
        <v/>
      </c>
      <c r="K3" s="42" t="s">
        <v>117</v>
      </c>
    </row>
    <row r="4" spans="1:12" ht="15.75" customHeight="1">
      <c r="B4" s="118" t="s">
        <v>439</v>
      </c>
      <c r="C4" s="205">
        <v>1600216</v>
      </c>
      <c r="D4" s="205">
        <v>2562909</v>
      </c>
      <c r="E4" s="205">
        <v>5067853</v>
      </c>
      <c r="F4" s="205">
        <v>7494766</v>
      </c>
      <c r="G4" s="205">
        <f>(3706212*1.06)*2</f>
        <v>7857169.4400000004</v>
      </c>
      <c r="H4" s="206"/>
      <c r="I4" s="206"/>
      <c r="J4" s="6"/>
      <c r="K4" s="43" t="s">
        <v>443</v>
      </c>
      <c r="L4" s="36"/>
    </row>
    <row r="5" spans="1:12" ht="15.75" customHeight="1">
      <c r="B5" s="118" t="s">
        <v>440</v>
      </c>
      <c r="C5" s="196">
        <v>1306273</v>
      </c>
      <c r="D5" s="196">
        <v>1152691</v>
      </c>
      <c r="E5" s="196">
        <v>1440522</v>
      </c>
      <c r="F5" s="196">
        <v>1607278</v>
      </c>
      <c r="G5" s="196">
        <f>(768202*0.95)*2</f>
        <v>1459583.8</v>
      </c>
      <c r="H5" s="197"/>
      <c r="I5" s="197"/>
      <c r="J5" s="6"/>
      <c r="K5" s="43"/>
      <c r="L5" s="36"/>
    </row>
    <row r="6" spans="1:12" ht="15.75" customHeight="1">
      <c r="B6" s="118" t="s">
        <v>441</v>
      </c>
      <c r="C6" s="196">
        <v>204561</v>
      </c>
      <c r="D6" s="196">
        <v>207215</v>
      </c>
      <c r="E6" s="196">
        <v>435503</v>
      </c>
      <c r="F6" s="196">
        <v>680320</v>
      </c>
      <c r="G6" s="196">
        <f>(351245*1.1)*2</f>
        <v>772739.00000000012</v>
      </c>
      <c r="H6" s="197"/>
      <c r="I6" s="197"/>
      <c r="J6" s="6"/>
      <c r="K6" s="43"/>
      <c r="L6" s="36"/>
    </row>
    <row r="7" spans="1:12" ht="15.75" customHeight="1">
      <c r="B7" s="118" t="s">
        <v>442</v>
      </c>
      <c r="C7" s="196">
        <v>127850</v>
      </c>
      <c r="D7" s="196">
        <v>263079</v>
      </c>
      <c r="E7" s="196">
        <v>334185</v>
      </c>
      <c r="F7" s="196">
        <v>543408</v>
      </c>
      <c r="G7" s="196">
        <f>(170734*0.9)*2</f>
        <v>307321.2</v>
      </c>
      <c r="H7" s="197"/>
      <c r="I7" s="197"/>
      <c r="J7" s="6"/>
      <c r="K7" s="43"/>
      <c r="L7" s="36"/>
    </row>
    <row r="8" spans="1:12" ht="15.75" customHeight="1">
      <c r="B8" s="118" t="s">
        <v>355</v>
      </c>
      <c r="C8" s="196">
        <v>335078</v>
      </c>
      <c r="D8" s="196">
        <v>341020</v>
      </c>
      <c r="E8" s="196">
        <v>459880</v>
      </c>
      <c r="F8" s="196">
        <v>396589</v>
      </c>
      <c r="G8" s="196">
        <f>(213824*0.8)*2</f>
        <v>342118.40000000002</v>
      </c>
      <c r="H8" s="197"/>
      <c r="I8" s="197"/>
      <c r="J8" s="6"/>
      <c r="K8" s="43"/>
      <c r="L8" s="36"/>
    </row>
    <row r="9" spans="1:12" ht="15.75" customHeight="1">
      <c r="B9" s="5" t="s">
        <v>118</v>
      </c>
      <c r="C9" s="198">
        <f>Data!F7</f>
        <v>3573978</v>
      </c>
      <c r="D9" s="198">
        <f>Data!E7</f>
        <v>4526914</v>
      </c>
      <c r="E9" s="198">
        <f>Data!D7</f>
        <v>7737943</v>
      </c>
      <c r="F9" s="198">
        <f>Data!C7</f>
        <v>10722361</v>
      </c>
      <c r="G9" s="200">
        <f>SUM(G4:G8)</f>
        <v>10738931.84</v>
      </c>
      <c r="H9" s="200"/>
      <c r="I9" s="201"/>
      <c r="J9" s="6"/>
      <c r="K9" s="43"/>
      <c r="L9" s="36"/>
    </row>
    <row r="10" spans="1:12" ht="15.75" customHeight="1">
      <c r="B10" s="14" t="s">
        <v>378</v>
      </c>
      <c r="C10" s="288">
        <f>C9/5113254-1</f>
        <v>-0.30103648283460982</v>
      </c>
      <c r="D10" s="171">
        <f>D9/C9-1</f>
        <v>0.266631747593298</v>
      </c>
      <c r="E10" s="171">
        <f>E9/D9-1</f>
        <v>0.70931963805806775</v>
      </c>
      <c r="F10" s="171">
        <f>Data!C8</f>
        <v>0.38568622177754475</v>
      </c>
      <c r="G10" s="149">
        <f>G9/F9-1</f>
        <v>1.5454469402773618E-3</v>
      </c>
      <c r="H10" s="149"/>
      <c r="I10" s="180"/>
      <c r="J10" s="6"/>
      <c r="K10" s="43"/>
      <c r="L10" s="36"/>
    </row>
    <row r="11" spans="1:12" ht="15.75" customHeight="1">
      <c r="B11" s="8" t="s">
        <v>119</v>
      </c>
      <c r="C11" s="202">
        <f>Data!F9</f>
        <v>3214958</v>
      </c>
      <c r="D11" s="202">
        <f>Data!E9</f>
        <v>4204600</v>
      </c>
      <c r="E11" s="202">
        <f>Data!D9</f>
        <v>7340712</v>
      </c>
      <c r="F11" s="202">
        <f>Data!C9</f>
        <v>10136404</v>
      </c>
      <c r="G11" s="203">
        <f>(4650060+403099+85721)*2</f>
        <v>10277760</v>
      </c>
      <c r="H11" s="204" t="str">
        <f>IF(H9="","",H9*(1-H12))</f>
        <v/>
      </c>
      <c r="I11" s="204" t="str">
        <f>IF(I9="","",I9*(1-I12))</f>
        <v/>
      </c>
      <c r="J11" s="6"/>
      <c r="K11" s="77"/>
      <c r="L11" s="1"/>
    </row>
    <row r="12" spans="1:12" ht="15.75" customHeight="1">
      <c r="B12" s="14" t="s">
        <v>44</v>
      </c>
      <c r="C12" s="96">
        <f t="shared" ref="C12:E12" si="0">(C9-C11)/C9</f>
        <v>0.10045389199373919</v>
      </c>
      <c r="D12" s="96">
        <f t="shared" si="0"/>
        <v>7.1199497052517449E-2</v>
      </c>
      <c r="E12" s="96">
        <f t="shared" si="0"/>
        <v>5.1335477658597382E-2</v>
      </c>
      <c r="F12" s="96">
        <f>(F9-F11)/F9</f>
        <v>5.4648132067181845E-2</v>
      </c>
      <c r="G12" s="208">
        <f>(G9-G11)/G9</f>
        <v>4.2943920947728059E-2</v>
      </c>
      <c r="H12" s="208"/>
      <c r="I12" s="208"/>
      <c r="J12" s="6"/>
      <c r="K12" s="43"/>
    </row>
    <row r="13" spans="1:12" ht="15.75" customHeight="1">
      <c r="B13" s="5" t="s">
        <v>356</v>
      </c>
      <c r="C13" s="51">
        <f>C9-C11</f>
        <v>359020</v>
      </c>
      <c r="D13" s="51">
        <f t="shared" ref="D13:E13" si="1">D9-D11</f>
        <v>322314</v>
      </c>
      <c r="E13" s="51">
        <f t="shared" si="1"/>
        <v>397231</v>
      </c>
      <c r="F13" s="51">
        <f>F9-F11</f>
        <v>585957</v>
      </c>
      <c r="G13" s="51">
        <f>G9-G11</f>
        <v>461171.83999999985</v>
      </c>
      <c r="H13" s="51" t="str">
        <f>IF(H10="","",H9-H11)</f>
        <v/>
      </c>
      <c r="I13" s="51" t="str">
        <f>IF(I10="","",I9-I11)</f>
        <v/>
      </c>
      <c r="J13" s="6"/>
      <c r="K13" s="43"/>
    </row>
    <row r="14" spans="1:12" ht="15.75" customHeight="1">
      <c r="B14" s="14" t="s">
        <v>46</v>
      </c>
      <c r="C14" s="54">
        <f>C15/C9</f>
        <v>7.6004385029790331E-2</v>
      </c>
      <c r="D14" s="54">
        <f t="shared" ref="D14:E14" si="2">D15/D9</f>
        <v>5.0511231271457777E-2</v>
      </c>
      <c r="E14" s="54">
        <f t="shared" si="2"/>
        <v>4.6455886273651797E-2</v>
      </c>
      <c r="F14" s="54">
        <f>F15/F9</f>
        <v>4.1457940093604387E-2</v>
      </c>
      <c r="G14" s="207">
        <f>F14</f>
        <v>4.1457940093604387E-2</v>
      </c>
      <c r="H14" s="180"/>
      <c r="I14" s="180"/>
      <c r="J14" s="6"/>
      <c r="K14" s="43"/>
    </row>
    <row r="15" spans="1:12" ht="15.75" customHeight="1">
      <c r="B15" s="8" t="s">
        <v>120</v>
      </c>
      <c r="C15" s="198">
        <f>Data!F11</f>
        <v>271638</v>
      </c>
      <c r="D15" s="198">
        <f>Data!E11</f>
        <v>228660</v>
      </c>
      <c r="E15" s="198">
        <f>Data!D11</f>
        <v>359473</v>
      </c>
      <c r="F15" s="198">
        <f>Data!C11</f>
        <v>444527</v>
      </c>
      <c r="G15" s="161">
        <f>207908*2</f>
        <v>415816</v>
      </c>
      <c r="H15" s="161"/>
      <c r="I15" s="161"/>
      <c r="J15" s="6"/>
      <c r="K15" s="43"/>
    </row>
    <row r="16" spans="1:12" ht="15.75" customHeight="1">
      <c r="B16" s="14" t="s">
        <v>47</v>
      </c>
      <c r="C16" s="166">
        <f t="shared" ref="C16:E16" si="3">C18/C9</f>
        <v>2.4449506963948854E-2</v>
      </c>
      <c r="D16" s="166">
        <f t="shared" si="3"/>
        <v>2.068826578105968E-2</v>
      </c>
      <c r="E16" s="166">
        <f t="shared" si="3"/>
        <v>4.8795913849455858E-3</v>
      </c>
      <c r="F16" s="166">
        <f>F18/F9</f>
        <v>1.319019197357746E-2</v>
      </c>
      <c r="G16" s="166">
        <f>G18/G9</f>
        <v>4.2234964031580861E-3</v>
      </c>
      <c r="H16" s="166" t="str">
        <f>IF(H10="","",H18/H9)</f>
        <v/>
      </c>
      <c r="I16" s="166" t="str">
        <f>IF(I10="","",I18/I9)</f>
        <v/>
      </c>
      <c r="J16" s="6"/>
      <c r="K16" s="43"/>
      <c r="L16" s="36"/>
    </row>
    <row r="17" spans="1:12" ht="15.75" customHeight="1">
      <c r="B17" s="14" t="s">
        <v>121</v>
      </c>
      <c r="C17" s="288"/>
      <c r="D17" s="171">
        <f t="shared" ref="D17:E17" si="4">D18/C18-1</f>
        <v>7.1776796136504117E-2</v>
      </c>
      <c r="E17" s="171">
        <f t="shared" si="4"/>
        <v>-0.59683515920302388</v>
      </c>
      <c r="F17" s="171">
        <f>F18/E18-1</f>
        <v>2.7456962762858201</v>
      </c>
      <c r="G17" s="149">
        <f>IF(ABS(F18+G18)=ABS(F18)+ABS(G18),IF(G18&lt;0,-1,1)*(G18-F18)/F18,"Turn")</f>
        <v>-0.67930538075373081</v>
      </c>
      <c r="H17" s="149" t="str">
        <f>IF(H10="","",IF(ABS(G18+H18)=ABS(G18)+ABS(H18),IF(H18&lt;0,-1,1)*(H18-G18)/G18,"Turn"))</f>
        <v/>
      </c>
      <c r="I17" s="149" t="str">
        <f>IF(I10="","",IF(ABS(H18+I18)=ABS(H18)+ABS(I18),IF(I18&lt;0,-1,1)*(I18-H18)/H18,"Turn"))</f>
        <v/>
      </c>
      <c r="J17" s="6"/>
      <c r="K17" s="45"/>
      <c r="L17" s="46"/>
    </row>
    <row r="18" spans="1:12" ht="15.75" customHeight="1">
      <c r="B18" s="5" t="s">
        <v>207</v>
      </c>
      <c r="C18" s="154">
        <f t="shared" ref="C18:D18" si="5">C13-C15</f>
        <v>87382</v>
      </c>
      <c r="D18" s="154">
        <f t="shared" si="5"/>
        <v>93654</v>
      </c>
      <c r="E18" s="154">
        <f>E13-E15</f>
        <v>37758</v>
      </c>
      <c r="F18" s="154">
        <f>F13-F15</f>
        <v>141430</v>
      </c>
      <c r="G18" s="154">
        <f>G13-G15</f>
        <v>45355.839999999851</v>
      </c>
      <c r="H18" s="154" t="str">
        <f>IF(H10="","",H13-H15)</f>
        <v/>
      </c>
      <c r="I18" s="154" t="str">
        <f>IF(I10="","",I13-I15)</f>
        <v/>
      </c>
      <c r="J18" s="6"/>
      <c r="K18" s="47"/>
      <c r="L18" s="35"/>
    </row>
    <row r="19" spans="1:12" ht="15.75" customHeight="1">
      <c r="B19" s="209" t="s">
        <v>122</v>
      </c>
      <c r="C19" s="287"/>
      <c r="D19" s="287"/>
      <c r="E19" s="287"/>
      <c r="F19" s="211">
        <v>0.25</v>
      </c>
      <c r="G19" s="166">
        <f>IF(G18="","",F19)</f>
        <v>0.25</v>
      </c>
      <c r="H19" s="166" t="str">
        <f>IF(H18="","",G19)</f>
        <v/>
      </c>
      <c r="I19" s="166" t="str">
        <f>IF(I18="","",H19)</f>
        <v/>
      </c>
      <c r="K19" s="43"/>
    </row>
    <row r="20" spans="1:12" ht="15.75" customHeight="1">
      <c r="B20" s="14" t="s">
        <v>253</v>
      </c>
      <c r="C20" s="288"/>
      <c r="D20" s="288"/>
      <c r="E20" s="288"/>
      <c r="F20" s="171">
        <f>F21/F11</f>
        <v>1.0464509899171344E-2</v>
      </c>
      <c r="G20" s="149">
        <f>G21/G11</f>
        <v>3.3097562114701926E-3</v>
      </c>
      <c r="H20" s="149" t="str">
        <f>IF(H11="","",H21/H11)</f>
        <v/>
      </c>
      <c r="I20" s="149" t="str">
        <f>IF(I11="","",I21/I11)</f>
        <v/>
      </c>
    </row>
    <row r="21" spans="1:12" ht="15.75" customHeight="1">
      <c r="B21" s="85" t="s">
        <v>69</v>
      </c>
      <c r="C21" s="289"/>
      <c r="D21" s="289"/>
      <c r="E21" s="289"/>
      <c r="F21" s="51">
        <f>IF(F18&lt;=0,F18,F18*(1-F19))</f>
        <v>106072.5</v>
      </c>
      <c r="G21" s="210">
        <f>IF(G18="","",IF(G18&lt;=0,G18,G18*(1-G19)))</f>
        <v>34016.879999999888</v>
      </c>
      <c r="H21" s="210" t="str">
        <f>IF(H18="","",IF(H18&lt;=0,H18,H18*(1-H19)))</f>
        <v/>
      </c>
      <c r="I21" s="210" t="str">
        <f>IF(I18="","",IF(I18&lt;=0,I18,I18*(1-I19)))</f>
        <v/>
      </c>
    </row>
    <row r="22" spans="1:12" ht="15.75" customHeight="1">
      <c r="B22" s="14" t="s">
        <v>342</v>
      </c>
      <c r="C22" s="290"/>
      <c r="D22" s="290"/>
      <c r="E22" s="290"/>
      <c r="F22" s="212">
        <f>Data!C35</f>
        <v>1023356.9321999999</v>
      </c>
      <c r="G22" s="213">
        <f>IF(G10&lt;=0,0,(G9-F9)*Asset_Model!$D$67)</f>
        <v>5682.1410359999491</v>
      </c>
      <c r="H22" s="213" t="str">
        <f>IF(H9="","",IF(H10&lt;=0,0,(H9-G9)*Asset_Model!$D$67))</f>
        <v/>
      </c>
      <c r="I22" s="213" t="str">
        <f>IF(I9="","",IF(I10&lt;=0,0,(I9-H9)*Asset_Model!$D$67))</f>
        <v/>
      </c>
    </row>
    <row r="23" spans="1:12" ht="15.75" customHeight="1">
      <c r="B23" s="14" t="s">
        <v>344</v>
      </c>
      <c r="C23" s="291"/>
      <c r="D23" s="291"/>
      <c r="E23" s="291"/>
      <c r="F23" s="95">
        <f>Data!C33</f>
        <v>1176000</v>
      </c>
      <c r="G23" s="161">
        <v>260000</v>
      </c>
      <c r="H23" s="161"/>
      <c r="I23" s="161" t="str">
        <f>IF(I16="","",IF(ABS(H24+I24)=ABS(H24)+ABS(I24),IF(I24&lt;0,-1,1)*(I24-H24)/H24,"Turn"))</f>
        <v/>
      </c>
    </row>
    <row r="24" spans="1:12" ht="15.75" customHeight="1">
      <c r="B24" s="85" t="s">
        <v>347</v>
      </c>
      <c r="C24" s="292"/>
      <c r="D24" s="292"/>
      <c r="E24" s="292"/>
      <c r="F24" s="214">
        <f>F22+F23</f>
        <v>2199356.9321999997</v>
      </c>
      <c r="G24" s="214">
        <f>IF(G16="","",G22+G23)</f>
        <v>265682.14103599993</v>
      </c>
      <c r="H24" s="214" t="str">
        <f>IF(H16="","",H22+H23)</f>
        <v/>
      </c>
      <c r="I24" s="214" t="str">
        <f>IF(I16="","",I22+I23)</f>
        <v/>
      </c>
    </row>
    <row r="25" spans="1:12" ht="15.75" customHeight="1">
      <c r="B25" s="14" t="s">
        <v>336</v>
      </c>
      <c r="C25" s="288"/>
      <c r="D25" s="288"/>
      <c r="E25" s="288"/>
      <c r="F25" s="171">
        <f>AVERAGE(Data!C54:E54)</f>
        <v>2.6497863572380802E-2</v>
      </c>
      <c r="G25" s="395"/>
      <c r="H25" s="396"/>
      <c r="I25" s="397"/>
    </row>
    <row r="26" spans="1:12" ht="15.75" customHeight="1">
      <c r="B26" s="84" t="s">
        <v>123</v>
      </c>
      <c r="C26" s="292"/>
      <c r="D26" s="292"/>
      <c r="E26" s="292"/>
      <c r="F26" s="214">
        <f>F21-F24</f>
        <v>-2093284.4321999997</v>
      </c>
      <c r="G26" s="214">
        <f>G21-G24</f>
        <v>-231665.26103600004</v>
      </c>
      <c r="H26" s="214" t="str">
        <f>IF(H21="","",H21-H24)</f>
        <v/>
      </c>
      <c r="I26" s="214" t="str">
        <f>IF(I21="","",I21-I24)</f>
        <v/>
      </c>
    </row>
    <row r="27" spans="1:12" ht="15.75" customHeight="1"/>
    <row r="28" spans="1:12" ht="15.75" customHeight="1">
      <c r="A28" s="4"/>
      <c r="B28" s="56" t="s">
        <v>362</v>
      </c>
      <c r="C28" s="293">
        <f t="shared" ref="C28:I28" si="6">C3</f>
        <v>43830</v>
      </c>
      <c r="D28" s="293">
        <f t="shared" si="6"/>
        <v>44196</v>
      </c>
      <c r="E28" s="293">
        <f t="shared" si="6"/>
        <v>44561</v>
      </c>
      <c r="F28" s="293">
        <f t="shared" si="6"/>
        <v>44926</v>
      </c>
      <c r="G28" s="293">
        <f t="shared" si="6"/>
        <v>45291</v>
      </c>
      <c r="H28" s="293" t="str">
        <f t="shared" si="6"/>
        <v/>
      </c>
      <c r="I28" s="293" t="str">
        <f t="shared" si="6"/>
        <v/>
      </c>
      <c r="J28" s="12"/>
      <c r="K28" s="12"/>
    </row>
    <row r="29" spans="1:12" ht="15.75" customHeight="1"/>
    <row r="30" spans="1:12" ht="15.75" customHeight="1">
      <c r="B30" s="117" t="s">
        <v>366</v>
      </c>
    </row>
    <row r="31" spans="1:12" ht="15.75" customHeight="1"/>
    <row r="32" spans="1:12" ht="15.75" customHeight="1">
      <c r="B32" s="301" t="str">
        <f>"a. "&amp;B4</f>
        <v>a. 中国</v>
      </c>
      <c r="C32" s="302">
        <f>C4</f>
        <v>1600216</v>
      </c>
      <c r="D32" s="302">
        <f>D4</f>
        <v>2562909</v>
      </c>
      <c r="E32" s="302">
        <f>E4</f>
        <v>5067853</v>
      </c>
      <c r="F32" s="302">
        <f>F4</f>
        <v>7494766</v>
      </c>
      <c r="G32" s="302"/>
      <c r="H32" s="302"/>
      <c r="I32" s="301"/>
    </row>
    <row r="33" spans="2:9" ht="15.75" customHeight="1">
      <c r="B33" s="87"/>
      <c r="C33" s="295">
        <f>C$32*C37</f>
        <v>289639.09600000002</v>
      </c>
      <c r="D33" s="295">
        <f t="shared" ref="D33:F33" si="7">D$32*D37</f>
        <v>602283.61499999999</v>
      </c>
      <c r="E33" s="295">
        <f t="shared" si="7"/>
        <v>1003434.8940000001</v>
      </c>
      <c r="F33" s="295">
        <f t="shared" si="7"/>
        <v>1566406.094</v>
      </c>
      <c r="G33" s="295"/>
      <c r="H33" s="295"/>
      <c r="I33" s="295"/>
    </row>
    <row r="34" spans="2:9" ht="15.75" customHeight="1">
      <c r="B34" s="87"/>
      <c r="C34" s="295">
        <f t="shared" ref="C34:C36" si="8">$C$32*C38</f>
        <v>566476.46399999992</v>
      </c>
      <c r="D34" s="295">
        <f t="shared" ref="D34:F34" si="9">D$32*D38</f>
        <v>1345527.2250000001</v>
      </c>
      <c r="E34" s="295">
        <f t="shared" si="9"/>
        <v>2772115.591</v>
      </c>
      <c r="F34" s="295">
        <f t="shared" si="9"/>
        <v>4346964.2799999993</v>
      </c>
      <c r="G34" s="295"/>
      <c r="H34" s="295"/>
      <c r="I34" s="295"/>
    </row>
    <row r="35" spans="2:9" ht="15.75" customHeight="1">
      <c r="B35" s="87"/>
      <c r="C35" s="295">
        <f t="shared" si="8"/>
        <v>171223.11199999999</v>
      </c>
      <c r="D35" s="295">
        <f t="shared" ref="D35:F35" si="10">D$32*D39</f>
        <v>153774.54</v>
      </c>
      <c r="E35" s="295">
        <f t="shared" si="10"/>
        <v>329410.44500000001</v>
      </c>
      <c r="F35" s="295">
        <f t="shared" si="10"/>
        <v>502149.32200000004</v>
      </c>
      <c r="G35" s="295"/>
      <c r="H35" s="295"/>
      <c r="I35" s="295"/>
    </row>
    <row r="36" spans="2:9" ht="15.75" customHeight="1">
      <c r="B36" s="87"/>
      <c r="C36" s="295">
        <f t="shared" si="8"/>
        <v>572877.32799999998</v>
      </c>
      <c r="D36" s="295">
        <f t="shared" ref="D36:F36" si="11">D$32*D40</f>
        <v>461323.62</v>
      </c>
      <c r="E36" s="295">
        <f t="shared" si="11"/>
        <v>962892.07000000007</v>
      </c>
      <c r="F36" s="295">
        <f t="shared" si="11"/>
        <v>1079246.304</v>
      </c>
      <c r="G36" s="295"/>
      <c r="H36" s="295"/>
      <c r="I36" s="295"/>
    </row>
    <row r="37" spans="2:9" ht="15.75" customHeight="1">
      <c r="B37" s="286" t="s">
        <v>368</v>
      </c>
      <c r="C37" s="300">
        <v>0.18099999999999999</v>
      </c>
      <c r="D37" s="300">
        <v>0.23499999999999999</v>
      </c>
      <c r="E37" s="300">
        <v>0.19800000000000001</v>
      </c>
      <c r="F37" s="300">
        <v>0.20899999999999999</v>
      </c>
      <c r="G37" s="300"/>
      <c r="H37" s="300"/>
      <c r="I37" s="300"/>
    </row>
    <row r="38" spans="2:9" ht="15.75" customHeight="1">
      <c r="B38" s="286" t="s">
        <v>369</v>
      </c>
      <c r="C38" s="300">
        <v>0.35399999999999998</v>
      </c>
      <c r="D38" s="300">
        <v>0.52500000000000002</v>
      </c>
      <c r="E38" s="300">
        <v>0.54700000000000004</v>
      </c>
      <c r="F38" s="300">
        <v>0.57999999999999996</v>
      </c>
      <c r="G38" s="300"/>
      <c r="H38" s="300"/>
      <c r="I38" s="300"/>
    </row>
    <row r="39" spans="2:9" ht="15.75" customHeight="1">
      <c r="B39" s="286" t="s">
        <v>357</v>
      </c>
      <c r="C39" s="300">
        <v>0.107</v>
      </c>
      <c r="D39" s="300">
        <v>0.06</v>
      </c>
      <c r="E39" s="300">
        <v>6.5000000000000002E-2</v>
      </c>
      <c r="F39" s="300">
        <v>6.7000000000000004E-2</v>
      </c>
      <c r="G39" s="300"/>
      <c r="H39" s="300"/>
      <c r="I39" s="300"/>
    </row>
    <row r="40" spans="2:9" ht="15.75" customHeight="1">
      <c r="B40" s="286" t="s">
        <v>358</v>
      </c>
      <c r="C40" s="300">
        <v>0.35799999999999998</v>
      </c>
      <c r="D40" s="300">
        <v>0.18</v>
      </c>
      <c r="E40" s="300">
        <v>0.19</v>
      </c>
      <c r="F40" s="300">
        <v>0.14399999999999999</v>
      </c>
      <c r="G40" s="300"/>
      <c r="H40" s="300"/>
      <c r="I40" s="300"/>
    </row>
    <row r="41" spans="2:9" ht="15.75" customHeight="1">
      <c r="B41" s="87"/>
      <c r="C41" s="295"/>
      <c r="D41" s="295"/>
      <c r="E41" s="295"/>
      <c r="F41" s="295"/>
      <c r="G41" s="295"/>
      <c r="H41" s="295"/>
      <c r="I41" s="295"/>
    </row>
    <row r="42" spans="2:9" ht="15.75" customHeight="1">
      <c r="B42" s="120"/>
      <c r="C42" s="296"/>
      <c r="D42" s="296"/>
      <c r="E42" s="296"/>
      <c r="F42" s="296"/>
      <c r="G42" s="296"/>
      <c r="H42" s="296"/>
      <c r="I42" s="120"/>
    </row>
    <row r="43" spans="2:9" ht="15.75" customHeight="1">
      <c r="B43" s="87" t="s">
        <v>370</v>
      </c>
      <c r="C43" s="302">
        <v>156640</v>
      </c>
      <c r="D43" s="302">
        <v>151461</v>
      </c>
      <c r="E43" s="302">
        <v>194238</v>
      </c>
      <c r="F43" s="302">
        <v>191177</v>
      </c>
      <c r="G43" s="302"/>
      <c r="H43" s="302"/>
      <c r="I43" s="302"/>
    </row>
    <row r="44" spans="2:9" ht="15.75" customHeight="1">
      <c r="B44" s="87" t="s">
        <v>368</v>
      </c>
      <c r="C44" s="295">
        <f>C$43*C48</f>
        <v>31328</v>
      </c>
      <c r="D44" s="295">
        <f t="shared" ref="D44:F44" si="12">D$43*D48</f>
        <v>37562.328000000001</v>
      </c>
      <c r="E44" s="295">
        <f t="shared" si="12"/>
        <v>44674.740000000005</v>
      </c>
      <c r="F44" s="295">
        <f t="shared" si="12"/>
        <v>52382.498000000007</v>
      </c>
      <c r="G44" s="295"/>
      <c r="H44" s="295"/>
      <c r="I44" s="295"/>
    </row>
    <row r="45" spans="2:9" ht="15.75" customHeight="1">
      <c r="B45" s="87" t="s">
        <v>369</v>
      </c>
      <c r="C45" s="295">
        <f t="shared" ref="C45:F47" si="13">C$43*C49</f>
        <v>51377.920000000006</v>
      </c>
      <c r="D45" s="295">
        <f t="shared" si="13"/>
        <v>76487.805000000008</v>
      </c>
      <c r="E45" s="295">
        <f t="shared" si="13"/>
        <v>105082.758</v>
      </c>
      <c r="F45" s="295">
        <f t="shared" si="13"/>
        <v>106294.41200000001</v>
      </c>
      <c r="G45" s="295"/>
      <c r="H45" s="295"/>
      <c r="I45" s="295"/>
    </row>
    <row r="46" spans="2:9" ht="15.75" customHeight="1">
      <c r="B46" s="87" t="s">
        <v>357</v>
      </c>
      <c r="C46" s="295">
        <f t="shared" si="13"/>
        <v>15664</v>
      </c>
      <c r="D46" s="295">
        <f t="shared" si="13"/>
        <v>7724.5109999999995</v>
      </c>
      <c r="E46" s="295">
        <f t="shared" si="13"/>
        <v>9129.1859999999997</v>
      </c>
      <c r="F46" s="295">
        <f t="shared" si="13"/>
        <v>7838.2570000000005</v>
      </c>
      <c r="G46" s="295"/>
      <c r="H46" s="295"/>
      <c r="I46" s="295"/>
    </row>
    <row r="47" spans="2:9" ht="15.75" customHeight="1">
      <c r="B47" s="87" t="s">
        <v>358</v>
      </c>
      <c r="C47" s="295">
        <f t="shared" si="13"/>
        <v>58270.080000000002</v>
      </c>
      <c r="D47" s="295">
        <f t="shared" si="13"/>
        <v>29686.356</v>
      </c>
      <c r="E47" s="295">
        <f t="shared" si="13"/>
        <v>35351.315999999999</v>
      </c>
      <c r="F47" s="295">
        <f t="shared" si="13"/>
        <v>24661.833000000002</v>
      </c>
      <c r="G47" s="295"/>
      <c r="H47" s="295"/>
      <c r="I47" s="295"/>
    </row>
    <row r="48" spans="2:9" ht="15.75" customHeight="1">
      <c r="B48" s="286" t="s">
        <v>368</v>
      </c>
      <c r="C48" s="300">
        <v>0.2</v>
      </c>
      <c r="D48" s="300">
        <v>0.248</v>
      </c>
      <c r="E48" s="300">
        <v>0.23</v>
      </c>
      <c r="F48" s="300">
        <v>0.27400000000000002</v>
      </c>
      <c r="G48" s="300"/>
      <c r="H48" s="300"/>
      <c r="I48" s="300"/>
    </row>
    <row r="49" spans="2:9" ht="15.75" customHeight="1">
      <c r="B49" s="286" t="s">
        <v>369</v>
      </c>
      <c r="C49" s="300">
        <v>0.32800000000000001</v>
      </c>
      <c r="D49" s="300">
        <v>0.505</v>
      </c>
      <c r="E49" s="300">
        <v>0.54100000000000004</v>
      </c>
      <c r="F49" s="300">
        <v>0.55600000000000005</v>
      </c>
      <c r="G49" s="300"/>
      <c r="H49" s="300"/>
      <c r="I49" s="300"/>
    </row>
    <row r="50" spans="2:9" ht="15.75" customHeight="1">
      <c r="B50" s="286" t="s">
        <v>357</v>
      </c>
      <c r="C50" s="300">
        <v>0.1</v>
      </c>
      <c r="D50" s="300">
        <v>5.0999999999999997E-2</v>
      </c>
      <c r="E50" s="300">
        <v>4.7E-2</v>
      </c>
      <c r="F50" s="300">
        <v>4.1000000000000002E-2</v>
      </c>
      <c r="G50" s="300"/>
      <c r="H50" s="300"/>
      <c r="I50" s="300"/>
    </row>
    <row r="51" spans="2:9" ht="15.75" customHeight="1">
      <c r="B51" s="286" t="s">
        <v>358</v>
      </c>
      <c r="C51" s="300">
        <v>0.372</v>
      </c>
      <c r="D51" s="300">
        <v>0.19600000000000001</v>
      </c>
      <c r="E51" s="300">
        <v>0.182</v>
      </c>
      <c r="F51" s="300">
        <v>0.129</v>
      </c>
      <c r="G51" s="300"/>
      <c r="H51" s="300"/>
      <c r="I51" s="300"/>
    </row>
    <row r="52" spans="2:9" ht="15.75" customHeight="1">
      <c r="B52" s="286"/>
      <c r="C52" s="300"/>
      <c r="D52" s="300"/>
      <c r="E52" s="300"/>
      <c r="F52" s="300"/>
      <c r="G52" s="300"/>
      <c r="H52" s="300"/>
      <c r="I52" s="300"/>
    </row>
    <row r="53" spans="2:9" ht="15.75" customHeight="1">
      <c r="B53" s="87" t="s">
        <v>367</v>
      </c>
      <c r="C53" s="299">
        <f>C32*1000/(C43*10000)</f>
        <v>1.02158835546476</v>
      </c>
      <c r="D53" s="299">
        <f>D32*1000/(D43*10000)</f>
        <v>1.6921247053696991</v>
      </c>
      <c r="E53" s="299">
        <f>E32*1000/(E43*10000)</f>
        <v>2.6090945129171428</v>
      </c>
      <c r="F53" s="299">
        <f>F32*1000/(F43*10000)</f>
        <v>3.920328282167834</v>
      </c>
      <c r="G53" s="294"/>
      <c r="H53" s="294"/>
      <c r="I53" s="294"/>
    </row>
    <row r="54" spans="2:9" ht="15.75" customHeight="1">
      <c r="B54" s="286" t="s">
        <v>368</v>
      </c>
      <c r="C54" s="294">
        <f t="shared" ref="C54:F57" si="14">(C33*1000)/(C$43*C48*10000)</f>
        <v>0.9245374616956078</v>
      </c>
      <c r="D54" s="294">
        <f t="shared" si="14"/>
        <v>1.6034246200075779</v>
      </c>
      <c r="E54" s="294">
        <f t="shared" si="14"/>
        <v>2.246090058946062</v>
      </c>
      <c r="F54" s="294">
        <f t="shared" si="14"/>
        <v>2.9903233977119608</v>
      </c>
      <c r="G54" s="294"/>
      <c r="H54" s="294"/>
      <c r="I54" s="294"/>
    </row>
    <row r="55" spans="2:9" ht="15.75" customHeight="1">
      <c r="B55" s="286" t="s">
        <v>369</v>
      </c>
      <c r="C55" s="294">
        <f t="shared" si="14"/>
        <v>1.1025679202272101</v>
      </c>
      <c r="D55" s="294">
        <f t="shared" si="14"/>
        <v>1.7591395451863205</v>
      </c>
      <c r="E55" s="294">
        <f t="shared" si="14"/>
        <v>2.6380308661103089</v>
      </c>
      <c r="F55" s="294">
        <f t="shared" si="14"/>
        <v>4.0895510857146453</v>
      </c>
      <c r="G55" s="294"/>
      <c r="H55" s="294"/>
      <c r="I55" s="294"/>
    </row>
    <row r="56" spans="2:9" ht="15.75" customHeight="1">
      <c r="B56" s="286" t="s">
        <v>357</v>
      </c>
      <c r="C56" s="294">
        <f t="shared" si="14"/>
        <v>1.0930995403472932</v>
      </c>
      <c r="D56" s="294">
        <f t="shared" si="14"/>
        <v>1.9907349474937637</v>
      </c>
      <c r="E56" s="294">
        <f t="shared" si="14"/>
        <v>3.6083221987151974</v>
      </c>
      <c r="F56" s="294">
        <f t="shared" si="14"/>
        <v>6.4063901196401201</v>
      </c>
      <c r="G56" s="294"/>
      <c r="H56" s="294"/>
      <c r="I56" s="294"/>
    </row>
    <row r="57" spans="2:9" ht="15.75" customHeight="1">
      <c r="B57" s="286" t="s">
        <v>358</v>
      </c>
      <c r="C57" s="294">
        <f t="shared" si="14"/>
        <v>0.98314148187200012</v>
      </c>
      <c r="D57" s="294">
        <f t="shared" si="14"/>
        <v>1.5539920763599278</v>
      </c>
      <c r="E57" s="294">
        <f t="shared" si="14"/>
        <v>2.7237799860124023</v>
      </c>
      <c r="F57" s="294">
        <f t="shared" si="14"/>
        <v>4.3761804080013027</v>
      </c>
      <c r="G57" s="294"/>
      <c r="H57" s="294"/>
      <c r="I57" s="294"/>
    </row>
    <row r="58" spans="2:9" ht="15.75" customHeight="1">
      <c r="B58" s="87"/>
      <c r="C58" s="294"/>
      <c r="D58" s="294"/>
      <c r="E58" s="294"/>
      <c r="F58" s="294"/>
      <c r="G58" s="294"/>
      <c r="H58" s="294"/>
      <c r="I58" s="294"/>
    </row>
    <row r="59" spans="2:9" ht="15.75" customHeight="1">
      <c r="B59" s="87" t="s">
        <v>371</v>
      </c>
      <c r="C59" s="304">
        <v>3247483</v>
      </c>
      <c r="D59" s="304">
        <v>4204256</v>
      </c>
      <c r="E59" s="304">
        <v>4938642</v>
      </c>
      <c r="F59" s="304">
        <v>5294315</v>
      </c>
      <c r="G59" s="295"/>
      <c r="H59" s="295"/>
      <c r="I59" s="295"/>
    </row>
    <row r="60" spans="2:9" ht="15.75" customHeight="1">
      <c r="B60" s="286" t="s">
        <v>372</v>
      </c>
      <c r="C60" s="295"/>
      <c r="D60" s="295"/>
      <c r="E60" s="295">
        <v>3026710</v>
      </c>
      <c r="F60" s="295">
        <v>3309311</v>
      </c>
      <c r="G60" s="295"/>
      <c r="H60" s="295"/>
      <c r="I60" s="295"/>
    </row>
    <row r="61" spans="2:9" ht="15.75" customHeight="1">
      <c r="B61" s="286" t="s">
        <v>373</v>
      </c>
      <c r="C61" s="295"/>
      <c r="D61" s="295"/>
      <c r="E61" s="295">
        <v>1874556</v>
      </c>
      <c r="F61" s="295">
        <v>1942692</v>
      </c>
      <c r="G61" s="295"/>
      <c r="H61" s="295"/>
      <c r="I61" s="295"/>
    </row>
    <row r="62" spans="2:9" ht="15.75" customHeight="1">
      <c r="B62" s="286" t="s">
        <v>369</v>
      </c>
      <c r="C62" s="295"/>
      <c r="D62" s="295"/>
      <c r="E62" s="295">
        <v>37376</v>
      </c>
      <c r="F62" s="295">
        <v>42312</v>
      </c>
      <c r="G62" s="295"/>
      <c r="H62" s="295"/>
      <c r="I62" s="295"/>
    </row>
    <row r="63" spans="2:9" ht="15.75" customHeight="1">
      <c r="B63" s="286" t="s">
        <v>357</v>
      </c>
      <c r="C63" s="295"/>
      <c r="D63" s="295"/>
      <c r="E63" s="295"/>
      <c r="F63" s="295"/>
      <c r="G63" s="295"/>
      <c r="H63" s="295"/>
      <c r="I63" s="295"/>
    </row>
    <row r="64" spans="2:9" ht="15.75" customHeight="1">
      <c r="B64" s="87"/>
      <c r="C64" s="295"/>
      <c r="D64" s="295"/>
      <c r="E64" s="295"/>
      <c r="F64" s="295"/>
      <c r="G64" s="295"/>
      <c r="H64" s="295"/>
      <c r="I64" s="295"/>
    </row>
    <row r="65" spans="2:9" ht="15.75" customHeight="1">
      <c r="B65" s="137" t="str">
        <f>"b. "&amp;B8</f>
        <v>b. 其他</v>
      </c>
      <c r="C65" s="302">
        <f>C8</f>
        <v>335078</v>
      </c>
      <c r="D65" s="302">
        <f>D8</f>
        <v>341020</v>
      </c>
      <c r="E65" s="302">
        <f>E8</f>
        <v>459880</v>
      </c>
      <c r="F65" s="302">
        <f>F8</f>
        <v>396589</v>
      </c>
      <c r="G65" s="137"/>
      <c r="H65" s="137"/>
      <c r="I65" s="137"/>
    </row>
    <row r="66" spans="2:9" ht="15.75" customHeight="1">
      <c r="B66" s="87" t="s">
        <v>374</v>
      </c>
      <c r="C66" s="295">
        <f>C59-2354203</f>
        <v>893280</v>
      </c>
      <c r="D66" s="295">
        <f>D59-C59</f>
        <v>956773</v>
      </c>
      <c r="E66" s="295">
        <f>E59-D59</f>
        <v>734386</v>
      </c>
      <c r="F66" s="295">
        <f>F59-E59</f>
        <v>355673</v>
      </c>
      <c r="G66" s="295"/>
      <c r="H66" s="295"/>
      <c r="I66" s="295"/>
    </row>
    <row r="67" spans="2:9" ht="15.75" customHeight="1">
      <c r="B67" s="286" t="s">
        <v>360</v>
      </c>
      <c r="C67" s="303">
        <f>C65/C66</f>
        <v>0.37510970804227117</v>
      </c>
      <c r="D67" s="303">
        <f t="shared" ref="D67:F67" si="15">D65/D66</f>
        <v>0.35642728212439106</v>
      </c>
      <c r="E67" s="303">
        <f t="shared" si="15"/>
        <v>0.62621019463878669</v>
      </c>
      <c r="F67" s="303">
        <f t="shared" si="15"/>
        <v>1.1150382514275754</v>
      </c>
      <c r="G67" s="87"/>
      <c r="H67" s="87"/>
      <c r="I67" s="87"/>
    </row>
    <row r="68" spans="2:9" ht="15.75" customHeight="1">
      <c r="B68" s="286"/>
      <c r="C68" s="298"/>
      <c r="D68" s="298"/>
      <c r="E68" s="298"/>
      <c r="F68" s="298"/>
      <c r="G68" s="286"/>
      <c r="H68" s="286"/>
      <c r="I68" s="286"/>
    </row>
    <row r="69" spans="2:9" ht="15.75" customHeight="1">
      <c r="B69" s="301" t="e">
        <f>"c. "&amp;#REF!</f>
        <v>#REF!</v>
      </c>
      <c r="C69" s="302" t="e">
        <f>#REF!</f>
        <v>#REF!</v>
      </c>
      <c r="D69" s="302" t="e">
        <f>#REF!</f>
        <v>#REF!</v>
      </c>
      <c r="E69" s="302" t="e">
        <f>#REF!</f>
        <v>#REF!</v>
      </c>
      <c r="F69" s="302" t="e">
        <f>#REF!</f>
        <v>#REF!</v>
      </c>
      <c r="G69" s="302"/>
      <c r="H69" s="302"/>
      <c r="I69" s="302"/>
    </row>
    <row r="70" spans="2:9" ht="15.75" customHeight="1">
      <c r="B70" s="286" t="s">
        <v>364</v>
      </c>
      <c r="C70" s="300" t="e">
        <f>C69/C9</f>
        <v>#REF!</v>
      </c>
      <c r="D70" s="300" t="e">
        <f>D69/D9</f>
        <v>#REF!</v>
      </c>
      <c r="E70" s="300" t="e">
        <f>E69/E9</f>
        <v>#REF!</v>
      </c>
      <c r="F70" s="300" t="e">
        <f>F69/F9</f>
        <v>#REF!</v>
      </c>
      <c r="G70" s="300"/>
      <c r="H70" s="300"/>
      <c r="I70" s="300"/>
    </row>
    <row r="71" spans="2:9" ht="15.75" customHeight="1"/>
    <row r="72" spans="2:9" ht="15.75" customHeight="1">
      <c r="B72" s="117" t="s">
        <v>365</v>
      </c>
    </row>
    <row r="73" spans="2:9" ht="15.75" customHeight="1"/>
    <row r="74" spans="2:9" ht="15.75" customHeight="1">
      <c r="B74" s="137" t="s">
        <v>43</v>
      </c>
      <c r="C74" s="302">
        <f>C11</f>
        <v>3214958</v>
      </c>
      <c r="D74" s="302">
        <f>D11</f>
        <v>4204600</v>
      </c>
      <c r="E74" s="302">
        <f>E11</f>
        <v>7340712</v>
      </c>
      <c r="F74" s="302">
        <f>F11</f>
        <v>10136404</v>
      </c>
      <c r="G74" s="301"/>
      <c r="H74" s="301"/>
      <c r="I74" s="301"/>
    </row>
    <row r="75" spans="2:9" ht="15.75" customHeight="1">
      <c r="B75" s="286" t="s">
        <v>359</v>
      </c>
      <c r="C75" s="297"/>
      <c r="D75" s="297"/>
      <c r="E75" s="297">
        <v>4668463</v>
      </c>
      <c r="F75" s="297">
        <v>5278145</v>
      </c>
      <c r="G75" s="297"/>
      <c r="H75" s="297"/>
      <c r="I75" s="297"/>
    </row>
    <row r="76" spans="2:9" ht="15.75" customHeight="1">
      <c r="B76" s="286" t="s">
        <v>355</v>
      </c>
      <c r="C76" s="297">
        <f t="shared" ref="C76:E76" si="16">C74-C75</f>
        <v>3214958</v>
      </c>
      <c r="D76" s="297">
        <f t="shared" si="16"/>
        <v>4204600</v>
      </c>
      <c r="E76" s="297">
        <f t="shared" si="16"/>
        <v>2672249</v>
      </c>
      <c r="F76" s="297">
        <f>F74-F75</f>
        <v>4858259</v>
      </c>
      <c r="G76" s="297"/>
      <c r="H76" s="297"/>
      <c r="I76" s="297"/>
    </row>
    <row r="77" spans="2:9" ht="15.75" customHeight="1">
      <c r="B77" s="286"/>
      <c r="C77" s="286"/>
      <c r="D77" s="286"/>
      <c r="E77" s="286"/>
      <c r="F77" s="286"/>
      <c r="G77" s="286"/>
      <c r="H77" s="286"/>
      <c r="I77" s="286"/>
    </row>
    <row r="78" spans="2:9" ht="15.75" customHeight="1">
      <c r="B78" s="87" t="s">
        <v>361</v>
      </c>
      <c r="C78" s="87"/>
      <c r="D78" s="87"/>
      <c r="E78" s="87"/>
      <c r="F78" s="87"/>
      <c r="G78" s="87"/>
      <c r="H78" s="87"/>
      <c r="I78" s="87"/>
    </row>
    <row r="79" spans="2:9" ht="15.75" customHeight="1">
      <c r="B79" s="87"/>
      <c r="C79" s="87"/>
      <c r="D79" s="87"/>
      <c r="E79" s="87"/>
      <c r="F79" s="87"/>
      <c r="G79" s="87"/>
      <c r="H79" s="87"/>
      <c r="I79" s="87"/>
    </row>
    <row r="80" spans="2:9" ht="15.75" customHeight="1">
      <c r="B80" s="137" t="s">
        <v>363</v>
      </c>
      <c r="C80" s="137"/>
      <c r="D80" s="137"/>
      <c r="E80" s="137"/>
      <c r="F80" s="137"/>
      <c r="G80" s="137"/>
      <c r="H80" s="137"/>
      <c r="I80" s="137"/>
    </row>
    <row r="81" spans="2:6" ht="15.75" customHeight="1"/>
    <row r="82" spans="2:6" ht="15.75" customHeight="1">
      <c r="B82" s="117" t="s">
        <v>375</v>
      </c>
    </row>
    <row r="83" spans="2:6" ht="15.75" customHeight="1"/>
    <row r="84" spans="2:6" ht="15.75" customHeight="1">
      <c r="B84" s="3" t="s">
        <v>376</v>
      </c>
    </row>
    <row r="85" spans="2:6" ht="15.75" customHeight="1"/>
    <row r="86" spans="2:6" ht="15.75" customHeight="1">
      <c r="B86" s="3" t="s">
        <v>377</v>
      </c>
    </row>
    <row r="87" spans="2:6" ht="15.75" customHeight="1"/>
    <row r="88" spans="2:6" ht="15.75" customHeight="1"/>
    <row r="89" spans="2:6" ht="15.75" customHeight="1">
      <c r="B89" s="137" t="s">
        <v>344</v>
      </c>
      <c r="C89" s="302"/>
      <c r="D89" s="302"/>
      <c r="E89" s="302"/>
      <c r="F89" s="302">
        <v>514000</v>
      </c>
    </row>
    <row r="90" spans="2:6" ht="15.75" customHeight="1">
      <c r="C90" s="302"/>
      <c r="D90" s="302"/>
      <c r="E90" s="302"/>
      <c r="F90" s="296">
        <v>117000</v>
      </c>
    </row>
    <row r="91" spans="2:6" ht="15.75" customHeight="1"/>
    <row r="92" spans="2:6" ht="15.75" customHeight="1"/>
    <row r="93" spans="2:6" ht="15.75" customHeight="1"/>
    <row r="94" spans="2:6" ht="15.75" customHeight="1"/>
    <row r="95" spans="2:6" ht="15.75" customHeight="1"/>
    <row r="96" spans="2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</sheetData>
  <mergeCells count="1">
    <mergeCell ref="G25:I25"/>
  </mergeCells>
  <phoneticPr fontId="31" type="noConversion"/>
  <conditionalFormatting sqref="G19:G21">
    <cfRule type="containsBlanks" dxfId="8" priority="18">
      <formula>LEN(TRIM(G19))=0</formula>
    </cfRule>
  </conditionalFormatting>
  <conditionalFormatting sqref="G25">
    <cfRule type="containsBlanks" dxfId="7" priority="7">
      <formula>LEN(TRIM(G25))=0</formula>
    </cfRule>
  </conditionalFormatting>
  <conditionalFormatting sqref="H11:H14 H16:H18">
    <cfRule type="containsBlanks" priority="27">
      <formula>LEN(TRIM(H11))=0</formula>
    </cfRule>
  </conditionalFormatting>
  <conditionalFormatting sqref="H11:H24">
    <cfRule type="containsBlanks" dxfId="6" priority="26">
      <formula>LEN(TRIM(H11))=0</formula>
    </cfRule>
  </conditionalFormatting>
  <conditionalFormatting sqref="H21:I21">
    <cfRule type="containsBlanks" dxfId="5" priority="20">
      <formula>LEN(TRIM(H21))=0</formula>
    </cfRule>
  </conditionalFormatting>
  <conditionalFormatting sqref="H22:I24 H26:I26">
    <cfRule type="containsBlanks" dxfId="4" priority="8">
      <formula>LEN(TRIM(H22))=0</formula>
    </cfRule>
    <cfRule type="containsBlanks" priority="9">
      <formula>LEN(TRIM(H22))=0</formula>
    </cfRule>
  </conditionalFormatting>
  <conditionalFormatting sqref="I10:I18">
    <cfRule type="containsBlanks" priority="23">
      <formula>LEN(TRIM(I10))=0</formula>
    </cfRule>
  </conditionalFormatting>
  <conditionalFormatting sqref="I10:I24">
    <cfRule type="containsBlanks" dxfId="3" priority="22">
      <formula>LEN(TRIM(I10))=0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2:S109"/>
  <sheetViews>
    <sheetView showGridLines="0" zoomScale="88" workbookViewId="0">
      <selection activeCell="O16" sqref="O16"/>
    </sheetView>
  </sheetViews>
  <sheetFormatPr defaultRowHeight="12.5"/>
  <cols>
    <col min="1" max="1" width="5" customWidth="1"/>
    <col min="2" max="2" width="23.36328125" customWidth="1"/>
    <col min="3" max="7" width="13.36328125" customWidth="1"/>
    <col min="8" max="19" width="12.6328125" customWidth="1"/>
  </cols>
  <sheetData>
    <row r="2" spans="2:19" ht="15">
      <c r="C2" s="306">
        <f t="shared" ref="C2:G2" si="0">D2-1</f>
        <v>2012</v>
      </c>
      <c r="D2" s="306">
        <f t="shared" si="0"/>
        <v>2013</v>
      </c>
      <c r="E2" s="306">
        <f t="shared" si="0"/>
        <v>2014</v>
      </c>
      <c r="F2" s="306">
        <f t="shared" si="0"/>
        <v>2015</v>
      </c>
      <c r="G2" s="306">
        <f t="shared" si="0"/>
        <v>2016</v>
      </c>
      <c r="H2" s="306">
        <f t="shared" ref="H2:K2" si="1">I2-1</f>
        <v>2017</v>
      </c>
      <c r="I2" s="306">
        <f t="shared" si="1"/>
        <v>2018</v>
      </c>
      <c r="J2" s="306">
        <f t="shared" si="1"/>
        <v>2019</v>
      </c>
      <c r="K2" s="306">
        <f t="shared" si="1"/>
        <v>2020</v>
      </c>
      <c r="L2" s="306">
        <f>M2-1</f>
        <v>2021</v>
      </c>
      <c r="M2" s="306">
        <v>2022</v>
      </c>
      <c r="N2" s="305"/>
      <c r="O2" s="305"/>
      <c r="P2" s="305"/>
      <c r="Q2" s="305"/>
      <c r="R2" s="305"/>
      <c r="S2" s="305"/>
    </row>
    <row r="3" spans="2:19" ht="14">
      <c r="B3" s="3"/>
      <c r="C3" s="295"/>
      <c r="D3" s="295"/>
      <c r="E3" s="295"/>
      <c r="F3" s="295"/>
      <c r="G3" s="295"/>
      <c r="H3" s="309"/>
      <c r="I3" s="309"/>
      <c r="J3" s="295"/>
      <c r="K3" s="295"/>
      <c r="L3" s="295"/>
      <c r="M3" s="295"/>
    </row>
    <row r="4" spans="2:19">
      <c r="B4" s="307"/>
      <c r="C4" s="308"/>
      <c r="D4" s="311"/>
      <c r="E4" s="311"/>
      <c r="F4" s="311"/>
      <c r="G4" s="311"/>
      <c r="H4" s="311"/>
      <c r="I4" s="311"/>
      <c r="J4" s="311"/>
      <c r="K4" s="311"/>
      <c r="L4" s="311"/>
      <c r="M4" s="311"/>
    </row>
    <row r="5" spans="2:19">
      <c r="B5" s="307"/>
      <c r="C5" s="308"/>
      <c r="D5" s="310"/>
      <c r="E5" s="310"/>
      <c r="F5" s="310"/>
      <c r="G5" s="310"/>
      <c r="H5" s="310"/>
      <c r="I5" s="310"/>
      <c r="J5" s="310"/>
      <c r="K5" s="310"/>
      <c r="L5" s="310"/>
      <c r="M5" s="310"/>
    </row>
    <row r="6" spans="2:19">
      <c r="B6" s="307"/>
      <c r="C6" s="308"/>
      <c r="D6" s="311"/>
      <c r="E6" s="311"/>
      <c r="F6" s="311"/>
      <c r="G6" s="311"/>
      <c r="H6" s="311"/>
      <c r="I6" s="311"/>
      <c r="J6" s="311"/>
      <c r="K6" s="311"/>
      <c r="L6" s="311"/>
      <c r="M6" s="311"/>
    </row>
    <row r="7" spans="2:19">
      <c r="C7" s="308"/>
      <c r="D7" s="308"/>
      <c r="E7" s="308"/>
      <c r="F7" s="308"/>
      <c r="G7" s="308"/>
      <c r="H7" s="308"/>
      <c r="I7" s="308"/>
      <c r="J7" s="308"/>
      <c r="K7" s="308"/>
      <c r="L7" s="308"/>
      <c r="M7" s="308"/>
    </row>
    <row r="8" spans="2:19">
      <c r="B8" s="307"/>
      <c r="C8" s="309"/>
      <c r="D8" s="309"/>
      <c r="E8" s="309"/>
      <c r="F8" s="309"/>
      <c r="G8" s="309"/>
      <c r="H8" s="310"/>
      <c r="I8" s="310"/>
      <c r="J8" s="310"/>
      <c r="K8" s="310"/>
      <c r="L8" s="310"/>
      <c r="M8" s="310"/>
    </row>
    <row r="9" spans="2:19">
      <c r="B9" s="307"/>
      <c r="C9" s="308"/>
      <c r="D9" s="311"/>
      <c r="E9" s="311"/>
      <c r="F9" s="311"/>
      <c r="G9" s="311"/>
      <c r="H9" s="311"/>
      <c r="I9" s="311"/>
      <c r="J9" s="311"/>
      <c r="K9" s="311"/>
      <c r="L9" s="311"/>
      <c r="M9" s="311"/>
    </row>
    <row r="10" spans="2:19">
      <c r="C10" s="308"/>
      <c r="D10" s="308"/>
      <c r="E10" s="308"/>
      <c r="F10" s="308"/>
      <c r="G10" s="308"/>
      <c r="H10" s="308"/>
      <c r="I10" s="308"/>
      <c r="J10" s="308"/>
      <c r="K10" s="308"/>
      <c r="L10" s="308"/>
      <c r="M10" s="308"/>
    </row>
    <row r="30" spans="2:13" ht="13">
      <c r="B30" s="312" t="s">
        <v>379</v>
      </c>
    </row>
    <row r="31" spans="2:13" ht="15">
      <c r="C31" s="306">
        <f t="shared" ref="C31:M31" si="2">C2</f>
        <v>2012</v>
      </c>
      <c r="D31" s="306">
        <f t="shared" si="2"/>
        <v>2013</v>
      </c>
      <c r="E31" s="306">
        <f t="shared" si="2"/>
        <v>2014</v>
      </c>
      <c r="F31" s="306">
        <f t="shared" si="2"/>
        <v>2015</v>
      </c>
      <c r="G31" s="306">
        <f t="shared" si="2"/>
        <v>2016</v>
      </c>
      <c r="H31" s="306">
        <f t="shared" si="2"/>
        <v>2017</v>
      </c>
      <c r="I31" s="306">
        <f t="shared" si="2"/>
        <v>2018</v>
      </c>
      <c r="J31" s="306">
        <f t="shared" si="2"/>
        <v>2019</v>
      </c>
      <c r="K31" s="306">
        <f t="shared" si="2"/>
        <v>2020</v>
      </c>
      <c r="L31" s="306">
        <f t="shared" si="2"/>
        <v>2021</v>
      </c>
      <c r="M31" s="306">
        <f t="shared" si="2"/>
        <v>2022</v>
      </c>
    </row>
    <row r="32" spans="2:13">
      <c r="B32" s="307"/>
      <c r="C32" s="311"/>
      <c r="D32" s="311"/>
      <c r="E32" s="311"/>
      <c r="F32" s="311"/>
      <c r="G32" s="311"/>
      <c r="H32" s="311"/>
      <c r="I32" s="311"/>
      <c r="J32" s="311"/>
      <c r="K32" s="311"/>
      <c r="L32" s="311"/>
      <c r="M32" s="311"/>
    </row>
    <row r="33" spans="2:13">
      <c r="B33" s="307"/>
      <c r="C33" s="311"/>
      <c r="D33" s="311"/>
      <c r="E33" s="311"/>
      <c r="F33" s="311"/>
      <c r="G33" s="311"/>
      <c r="H33" s="311"/>
      <c r="I33" s="311"/>
      <c r="J33" s="311"/>
      <c r="K33" s="311"/>
      <c r="L33" s="311"/>
      <c r="M33" s="311"/>
    </row>
    <row r="34" spans="2:13">
      <c r="B34" s="307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</row>
    <row r="55" spans="2:13" ht="13">
      <c r="B55" s="312" t="s">
        <v>389</v>
      </c>
    </row>
    <row r="56" spans="2:13" ht="15">
      <c r="B56" s="307"/>
      <c r="C56" s="306">
        <f>C31</f>
        <v>2012</v>
      </c>
      <c r="D56" s="306">
        <f t="shared" ref="D56:M56" si="3">D31</f>
        <v>2013</v>
      </c>
      <c r="E56" s="306">
        <f t="shared" si="3"/>
        <v>2014</v>
      </c>
      <c r="F56" s="306">
        <f t="shared" si="3"/>
        <v>2015</v>
      </c>
      <c r="G56" s="306">
        <f t="shared" si="3"/>
        <v>2016</v>
      </c>
      <c r="H56" s="306">
        <f t="shared" si="3"/>
        <v>2017</v>
      </c>
      <c r="I56" s="306">
        <f t="shared" si="3"/>
        <v>2018</v>
      </c>
      <c r="J56" s="306">
        <f t="shared" si="3"/>
        <v>2019</v>
      </c>
      <c r="K56" s="306">
        <f t="shared" si="3"/>
        <v>2020</v>
      </c>
      <c r="L56" s="306">
        <f t="shared" si="3"/>
        <v>2021</v>
      </c>
      <c r="M56" s="306">
        <f t="shared" si="3"/>
        <v>2022</v>
      </c>
    </row>
    <row r="57" spans="2:13">
      <c r="B57" s="307" t="s">
        <v>380</v>
      </c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</row>
    <row r="58" spans="2:13">
      <c r="B58" s="307" t="s">
        <v>381</v>
      </c>
      <c r="C58" s="308"/>
      <c r="D58" s="308"/>
      <c r="E58" s="308"/>
      <c r="F58" s="308"/>
      <c r="G58" s="308"/>
      <c r="H58" s="308"/>
      <c r="I58" s="308"/>
      <c r="J58" s="311"/>
      <c r="K58" s="311"/>
      <c r="L58" s="311"/>
      <c r="M58" s="311"/>
    </row>
    <row r="59" spans="2:13">
      <c r="B59" s="307" t="s">
        <v>382</v>
      </c>
      <c r="C59" s="308"/>
      <c r="D59" s="308"/>
      <c r="E59" s="308"/>
      <c r="F59" s="308"/>
      <c r="G59" s="308"/>
      <c r="H59" s="308"/>
      <c r="I59" s="308"/>
      <c r="J59" s="311"/>
      <c r="K59" s="311"/>
      <c r="L59" s="311"/>
      <c r="M59" s="311"/>
    </row>
    <row r="60" spans="2:13">
      <c r="B60" s="307" t="s">
        <v>383</v>
      </c>
      <c r="J60" s="311"/>
      <c r="K60" s="311"/>
      <c r="L60" s="311"/>
      <c r="M60" s="311"/>
    </row>
    <row r="62" spans="2:13" ht="13">
      <c r="B62" s="312" t="s">
        <v>388</v>
      </c>
    </row>
    <row r="63" spans="2:13" ht="15">
      <c r="C63" s="306">
        <f>C56</f>
        <v>2012</v>
      </c>
      <c r="D63" s="306">
        <f>D56</f>
        <v>2013</v>
      </c>
      <c r="E63" s="306">
        <f t="shared" ref="E63:M63" si="4">E56</f>
        <v>2014</v>
      </c>
      <c r="F63" s="306">
        <f t="shared" si="4"/>
        <v>2015</v>
      </c>
      <c r="G63" s="306">
        <f t="shared" si="4"/>
        <v>2016</v>
      </c>
      <c r="H63" s="306">
        <f t="shared" si="4"/>
        <v>2017</v>
      </c>
      <c r="I63" s="306">
        <f t="shared" si="4"/>
        <v>2018</v>
      </c>
      <c r="J63" s="306">
        <f t="shared" si="4"/>
        <v>2019</v>
      </c>
      <c r="K63" s="306">
        <f t="shared" si="4"/>
        <v>2020</v>
      </c>
      <c r="L63" s="306">
        <f t="shared" si="4"/>
        <v>2021</v>
      </c>
      <c r="M63" s="306">
        <f t="shared" si="4"/>
        <v>2022</v>
      </c>
    </row>
    <row r="64" spans="2:13">
      <c r="B64" s="307" t="s">
        <v>386</v>
      </c>
      <c r="J64" s="310"/>
      <c r="K64" s="310"/>
      <c r="L64" s="310"/>
      <c r="M64" s="310"/>
    </row>
    <row r="65" spans="2:13">
      <c r="B65" s="307" t="s">
        <v>387</v>
      </c>
      <c r="J65" s="310"/>
      <c r="K65" s="310"/>
      <c r="L65" s="310"/>
      <c r="M65" s="310"/>
    </row>
    <row r="66" spans="2:13">
      <c r="B66" s="307" t="s">
        <v>385</v>
      </c>
      <c r="J66" s="311"/>
      <c r="K66" s="311"/>
      <c r="L66" s="311"/>
      <c r="M66" s="311"/>
    </row>
    <row r="87" spans="2:13" ht="15">
      <c r="C87" s="306">
        <v>2012</v>
      </c>
      <c r="D87" s="306">
        <v>2013</v>
      </c>
      <c r="E87" s="306">
        <v>2014</v>
      </c>
      <c r="F87" s="306">
        <v>2015</v>
      </c>
      <c r="G87" s="306">
        <v>2016</v>
      </c>
      <c r="H87" s="306">
        <v>2017</v>
      </c>
      <c r="I87" s="306">
        <v>2018</v>
      </c>
      <c r="J87" s="306">
        <v>2019</v>
      </c>
      <c r="K87" s="306">
        <v>2020</v>
      </c>
      <c r="L87" s="306">
        <v>2021</v>
      </c>
      <c r="M87" s="306">
        <v>2022</v>
      </c>
    </row>
    <row r="88" spans="2:13">
      <c r="B88" t="s">
        <v>390</v>
      </c>
      <c r="J88" s="313">
        <f>Data!F19</f>
        <v>25020</v>
      </c>
      <c r="K88" s="313">
        <f>Data!E19</f>
        <v>68639</v>
      </c>
      <c r="L88" s="313">
        <f>Data!D19</f>
        <v>327798</v>
      </c>
      <c r="M88" s="313">
        <f>Data!C19</f>
        <v>582451</v>
      </c>
    </row>
    <row r="89" spans="2:13">
      <c r="B89" t="s">
        <v>391</v>
      </c>
      <c r="J89" s="313">
        <f>Data!F33</f>
        <v>69000</v>
      </c>
      <c r="K89" s="313">
        <f>Data!E33</f>
        <v>56000</v>
      </c>
      <c r="L89" s="313">
        <f>Data!D33</f>
        <v>247000</v>
      </c>
      <c r="M89" s="313">
        <f>Data!C33</f>
        <v>1176000</v>
      </c>
    </row>
    <row r="90" spans="2:13">
      <c r="B90" t="s">
        <v>392</v>
      </c>
      <c r="J90" s="313">
        <f>Data!F40</f>
        <v>7352</v>
      </c>
      <c r="K90" s="313">
        <f>Data!E40</f>
        <v>37000</v>
      </c>
      <c r="L90" s="313">
        <f>Data!D40</f>
        <v>36302</v>
      </c>
      <c r="M90" s="313">
        <f>Data!C40</f>
        <v>182000</v>
      </c>
    </row>
    <row r="91" spans="2:13">
      <c r="B91" t="s">
        <v>393</v>
      </c>
      <c r="L91" s="313">
        <f>Data!D41</f>
        <v>0</v>
      </c>
      <c r="M91" s="313">
        <f>Data!C41</f>
        <v>0</v>
      </c>
    </row>
    <row r="92" spans="2:13">
      <c r="B92" t="s">
        <v>395</v>
      </c>
      <c r="J92" s="313">
        <f>Data!F34</f>
        <v>0</v>
      </c>
      <c r="K92" s="313">
        <f>Data!E34</f>
        <v>0</v>
      </c>
      <c r="L92" s="313">
        <f>Data!D34</f>
        <v>0</v>
      </c>
      <c r="M92" s="313">
        <f>Data!C34</f>
        <v>230000</v>
      </c>
    </row>
    <row r="95" spans="2:13">
      <c r="B95" t="s">
        <v>397</v>
      </c>
      <c r="J95" s="313">
        <v>1315974</v>
      </c>
      <c r="K95" s="313">
        <v>2298560</v>
      </c>
      <c r="L95" s="313">
        <v>2061289</v>
      </c>
      <c r="M95" s="313">
        <v>2916855</v>
      </c>
    </row>
    <row r="96" spans="2:13">
      <c r="B96" t="s">
        <v>398</v>
      </c>
      <c r="J96" s="313">
        <v>3886094</v>
      </c>
      <c r="K96" s="313">
        <v>2774281</v>
      </c>
      <c r="L96" s="313">
        <v>4254707</v>
      </c>
      <c r="M96" s="313">
        <v>4294664</v>
      </c>
    </row>
    <row r="97" spans="2:15">
      <c r="B97" s="307" t="s">
        <v>399</v>
      </c>
      <c r="J97" s="314">
        <v>1.3370230781251284</v>
      </c>
      <c r="K97" s="314">
        <v>1.0795113892766026</v>
      </c>
      <c r="L97" s="314">
        <v>1.2103831624020565</v>
      </c>
      <c r="M97" s="314">
        <v>1.309293938120297</v>
      </c>
    </row>
    <row r="100" spans="2:15">
      <c r="G100" s="307" t="s">
        <v>400</v>
      </c>
      <c r="H100" s="308"/>
      <c r="I100" s="316" t="s">
        <v>401</v>
      </c>
      <c r="J100" s="316" t="s">
        <v>402</v>
      </c>
      <c r="K100" s="316" t="s">
        <v>403</v>
      </c>
      <c r="L100" s="316" t="s">
        <v>411</v>
      </c>
      <c r="M100" s="316" t="s">
        <v>406</v>
      </c>
    </row>
    <row r="101" spans="2:15">
      <c r="H101" s="308"/>
      <c r="I101" s="310">
        <f>(M88+L88)/2</f>
        <v>455124.5</v>
      </c>
      <c r="J101" s="308"/>
      <c r="K101" s="308">
        <v>10</v>
      </c>
      <c r="M101" s="308">
        <v>1.1000000000000001</v>
      </c>
      <c r="N101" s="315" t="s">
        <v>21</v>
      </c>
      <c r="O101" s="310">
        <f>I101*K101/M101</f>
        <v>4137495.4545454541</v>
      </c>
    </row>
    <row r="103" spans="2:15">
      <c r="G103" s="307" t="s">
        <v>404</v>
      </c>
      <c r="I103" s="316" t="s">
        <v>405</v>
      </c>
      <c r="J103" s="316" t="s">
        <v>402</v>
      </c>
      <c r="K103" s="316" t="s">
        <v>410</v>
      </c>
      <c r="L103" s="316" t="s">
        <v>408</v>
      </c>
      <c r="M103" s="316" t="s">
        <v>407</v>
      </c>
    </row>
    <row r="104" spans="2:15">
      <c r="I104" s="310">
        <f>Asset_Model!C35+Asset_Model!C31+Asset_Model!C36</f>
        <v>10891</v>
      </c>
      <c r="J104" s="316" t="s">
        <v>402</v>
      </c>
      <c r="K104" s="308">
        <v>0.8</v>
      </c>
      <c r="L104" s="315"/>
      <c r="M104" s="310">
        <f>Val_Models!C17</f>
        <v>-805276</v>
      </c>
      <c r="N104" s="307" t="s">
        <v>21</v>
      </c>
      <c r="O104" s="317">
        <f>I104*K104+M104</f>
        <v>-796563.2</v>
      </c>
    </row>
    <row r="106" spans="2:15">
      <c r="G106" s="307"/>
    </row>
    <row r="107" spans="2:15">
      <c r="K107" s="316" t="s">
        <v>409</v>
      </c>
      <c r="L107" s="315" t="s">
        <v>21</v>
      </c>
      <c r="M107" s="310">
        <f>O101+O104</f>
        <v>3340932.2545454539</v>
      </c>
    </row>
    <row r="109" spans="2:15">
      <c r="M109" s="318">
        <f>M107*Data!C4/Common_Shares</f>
        <v>4.2206137837099265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4" zoomScaleNormal="100" zoomScalePageLayoutView="80" workbookViewId="0">
      <selection activeCell="C24" sqref="C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331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41</v>
      </c>
      <c r="C4" s="242">
        <f>IF(B4="NOPAT",Projections!F21,Projections!F9)</f>
        <v>10722361</v>
      </c>
      <c r="D4" s="243">
        <f>IF(B4="NOPAT",Projections!G21,Projections!G9)</f>
        <v>10738931.84</v>
      </c>
      <c r="E4" s="243" t="str">
        <f>IF(Projections!H9="","",IF(B4="NOPAT",Projections!H21,Projections!H9))</f>
        <v/>
      </c>
      <c r="F4" s="243" t="str">
        <f>IF(Projections!I9="","",IF(B4="NOPAT",Projections!I21,Projections!I9))</f>
        <v/>
      </c>
      <c r="G4" s="244">
        <f>IF(F3="",IF(E3="",1,2),3)</f>
        <v>1</v>
      </c>
      <c r="H4" s="6"/>
      <c r="I4" s="47" t="s">
        <v>444</v>
      </c>
      <c r="J4" s="35"/>
    </row>
    <row r="5" spans="1:10" ht="15.75" customHeight="1">
      <c r="B5" s="14" t="str">
        <f>B4&amp;" Growth rate"</f>
        <v>Sales Growth rate</v>
      </c>
      <c r="C5" s="102"/>
      <c r="D5" s="241">
        <f>D4/C4-1</f>
        <v>1.5454469402773618E-3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Reinvestment/Sales</v>
      </c>
      <c r="C6" s="171">
        <f>C7/C4</f>
        <v>0.20511871706240814</v>
      </c>
      <c r="D6" s="171">
        <f>D7/D4</f>
        <v>2.4740090075476253E-2</v>
      </c>
      <c r="E6" s="171"/>
      <c r="F6" s="171"/>
      <c r="G6" s="171"/>
      <c r="H6" s="6"/>
      <c r="I6" s="45"/>
    </row>
    <row r="7" spans="1:10" ht="15" customHeight="1" thickBot="1">
      <c r="B7" s="146" t="s">
        <v>68</v>
      </c>
      <c r="C7" s="328">
        <f>Projections!F24</f>
        <v>2199356.9321999997</v>
      </c>
      <c r="D7" s="328">
        <f>Projections!G24</f>
        <v>265682.14103599993</v>
      </c>
      <c r="E7" s="248" t="str">
        <f>Projections!H24</f>
        <v/>
      </c>
      <c r="F7" s="248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IF(C4="","",Projections!F21-C7)</f>
        <v>-2093284.4321999997</v>
      </c>
      <c r="D8" s="210">
        <f>Projections!G21-D7</f>
        <v>-231665.26103600004</v>
      </c>
      <c r="E8" s="210" t="str">
        <f>IF(E4="","",Projections!H21-E7)</f>
        <v/>
      </c>
      <c r="F8" s="210" t="str">
        <f>IF(F4="","",Projections!I21-F7)</f>
        <v/>
      </c>
      <c r="G8" s="24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-2.6444550366887793</v>
      </c>
      <c r="D9" s="249">
        <f>D8/(Common_Shares/Data!$C$4)</f>
        <v>-0.2926636996619762</v>
      </c>
      <c r="E9" s="249" t="str">
        <f>IF(E8="","",E8/(Common_Shares/Data!$C$4))</f>
        <v/>
      </c>
      <c r="F9" s="249" t="str">
        <f>IF(F8="","",F8/(Common_Shares/Data!$C$4))</f>
        <v/>
      </c>
      <c r="G9" s="250">
        <f>IF(F4="",IF(E4="",D8,E8),F8)*Data!C$4/Common_Shares</f>
        <v>-0.29266369966197625</v>
      </c>
      <c r="H9" s="49"/>
      <c r="I9" s="35"/>
      <c r="J9" s="35"/>
    </row>
    <row r="10" spans="1:10" ht="15.75" customHeight="1">
      <c r="B10" s="14" t="s">
        <v>124</v>
      </c>
      <c r="C10" s="247"/>
      <c r="D10" s="149">
        <f ca="1">Dashboard!C12</f>
        <v>9.6000000000000002E-2</v>
      </c>
      <c r="E10" s="149" t="str">
        <f>IF(E4="","",D10)</f>
        <v/>
      </c>
      <c r="F10" s="149" t="str">
        <f>IF(F4="","",D10)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1">
        <f ca="1">IF(D4="","",1+D10)</f>
        <v>1.0960000000000001</v>
      </c>
      <c r="E11" s="251" t="str">
        <f>IF(E4="","",(1+D10)*(1+E10))</f>
        <v/>
      </c>
      <c r="F11" s="251" t="str">
        <f>IF(F4="","",(1+D10)*(1+E10)*(1+F10))</f>
        <v/>
      </c>
      <c r="G11" s="251">
        <f ca="1">IF(F4="",IF(E4="",D11,E11),F11)*(1+G10)</f>
        <v>1.2012160000000003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2"/>
      <c r="D12" s="253">
        <f ca="1">IF(D9="","",D9/D11)</f>
        <v>-0.26702892304924836</v>
      </c>
      <c r="E12" s="253" t="str">
        <f>IF(E9="","",E9/E11)</f>
        <v/>
      </c>
      <c r="F12" s="253" t="str">
        <f>IF(F9="","",F9/F11)</f>
        <v/>
      </c>
      <c r="G12" s="254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2359881</v>
      </c>
      <c r="D15" s="106">
        <f>C15/(Dashboard!I5/Data!C4)*Exchange_Rate</f>
        <v>2.9812476032592521</v>
      </c>
      <c r="E15" s="52" t="s">
        <v>199</v>
      </c>
      <c r="G15" s="199">
        <f>C15+C16+C17+C18</f>
        <v>1508626.6712913087</v>
      </c>
    </row>
    <row r="16" spans="1:10" ht="15.75" customHeight="1">
      <c r="B16" s="37" t="s">
        <v>205</v>
      </c>
      <c r="C16" s="51">
        <f>Asset_Model!E61</f>
        <v>26726.5</v>
      </c>
      <c r="D16" s="106">
        <f>C16/(Dashboard!I5/Data!C4)*Exchange_Rate</f>
        <v>3.3763699978307547E-2</v>
      </c>
      <c r="E16" s="52" t="s">
        <v>275</v>
      </c>
      <c r="G16" s="265">
        <f>(G15+MIN(D4,0))*Data!C$4/Dashboard!I5*Exchange_Rate</f>
        <v>1.9058544257105325</v>
      </c>
    </row>
    <row r="17" spans="1:9" ht="15.75" customHeight="1">
      <c r="B17" s="37" t="s">
        <v>192</v>
      </c>
      <c r="C17" s="51">
        <f>-Asset_Model!D55</f>
        <v>-805276</v>
      </c>
      <c r="D17" s="106">
        <f>C17/(Dashboard!I5/Data!C4)*Exchange_Rate</f>
        <v>-1.0173085613055055</v>
      </c>
      <c r="E17" s="363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-72704.828708691246</v>
      </c>
      <c r="D18" s="106">
        <f>C18/(Dashboard!I5/Data!C4)*Exchange_Rate</f>
        <v>-9.1848316221521439E-2</v>
      </c>
      <c r="E18" s="363"/>
      <c r="F18" s="89">
        <f>D15+(MIN(D4,0)*Data!C$4/Dashboard!I5)</f>
        <v>2.9812476032592521</v>
      </c>
      <c r="G18" s="88">
        <f>SUM(D16:D18)</f>
        <v>-1.0753931775487193</v>
      </c>
    </row>
    <row r="19" spans="1:9" ht="15.75" customHeight="1">
      <c r="F19" s="6"/>
      <c r="G19" s="6"/>
    </row>
    <row r="20" spans="1:9" ht="15.75" customHeight="1">
      <c r="B20" s="20" t="s">
        <v>330</v>
      </c>
      <c r="C20" s="100" t="str">
        <f>B3</f>
        <v>(Numbers in 1000HKD)</v>
      </c>
      <c r="E20" s="398" t="s">
        <v>195</v>
      </c>
      <c r="F20" s="398"/>
      <c r="G20" s="60"/>
    </row>
    <row r="21" spans="1:9" ht="15.75" customHeight="1">
      <c r="B21" s="81" t="str">
        <f>"TV after Year "&amp;G4</f>
        <v>TV after Year 1</v>
      </c>
      <c r="C21" s="266" t="s">
        <v>424</v>
      </c>
      <c r="D21" s="38" t="s">
        <v>326</v>
      </c>
      <c r="E21" s="267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8">
        <v>1</v>
      </c>
      <c r="D22" s="269">
        <f>C22*0.5*D4*Data!C4/Common_Shares</f>
        <v>6.7832689041448422</v>
      </c>
      <c r="E22" s="239">
        <f>IF(D22="",IF(G9&lt;0,G9,G9*C22/G11),D22)</f>
        <v>6.7832689041448422</v>
      </c>
      <c r="F22" s="239">
        <f ca="1">SUM(D12:F12)+E22+$G$16</f>
        <v>8.4220944068061261</v>
      </c>
      <c r="G22" s="272">
        <f ca="1">F22*Exchange_Rate</f>
        <v>8.4220944068061261</v>
      </c>
      <c r="I22" s="43" t="s">
        <v>438</v>
      </c>
    </row>
    <row r="23" spans="1:9" ht="15.75" customHeight="1">
      <c r="B23" s="132" t="s">
        <v>249</v>
      </c>
      <c r="C23" s="270">
        <v>1.6</v>
      </c>
      <c r="D23" s="271">
        <f>C23*0.5*D4*Data!C4/Common_Shares</f>
        <v>10.85323024663175</v>
      </c>
      <c r="E23" s="98">
        <f>IF(D23="",IF(G9&lt;0,G9,G9*C23/G11),D23)</f>
        <v>10.85323024663175</v>
      </c>
      <c r="F23" s="98">
        <f ca="1">SUM(D12:F12)+E23+$G$16</f>
        <v>12.492055749293035</v>
      </c>
      <c r="G23" s="273">
        <f ca="1">F23*Exchange_Rate</f>
        <v>12.492055749293035</v>
      </c>
      <c r="I23" s="43"/>
    </row>
    <row r="24" spans="1:9" ht="15.5" customHeight="1">
      <c r="C24" s="6"/>
      <c r="D24" s="6"/>
      <c r="E24" s="399" t="s">
        <v>335</v>
      </c>
      <c r="F24" s="400"/>
      <c r="G24" s="143">
        <f ca="1">MIN(G22,G23)+ABS(G22-G23)*Qualitative_Analysis!$E$64</f>
        <v>10.339336910641924</v>
      </c>
    </row>
    <row r="25" spans="1:9" ht="15.75" customHeight="1"/>
    <row r="26" spans="1:9" ht="15.75" customHeight="1">
      <c r="A26" s="4"/>
      <c r="B26" s="56" t="s">
        <v>298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320</v>
      </c>
    </row>
    <row r="28" spans="1:9" ht="15.75" customHeight="1">
      <c r="B28" s="5" t="s">
        <v>123</v>
      </c>
      <c r="C28" s="51">
        <f>C8</f>
        <v>-2093284.4321999997</v>
      </c>
      <c r="D28" s="51">
        <f>D8</f>
        <v>-231665.26103600004</v>
      </c>
      <c r="E28" s="51" t="str">
        <f>E8</f>
        <v/>
      </c>
      <c r="F28" s="51" t="str">
        <f>F8</f>
        <v/>
      </c>
      <c r="G28" s="161">
        <f>D28*1.02</f>
        <v>-236298.56625672005</v>
      </c>
      <c r="I28" s="43" t="s">
        <v>317</v>
      </c>
    </row>
    <row r="29" spans="1:9" ht="15.75" customHeight="1">
      <c r="B29" s="141" t="s">
        <v>299</v>
      </c>
      <c r="C29" s="180">
        <v>0.04</v>
      </c>
      <c r="D29" s="207">
        <v>0.04</v>
      </c>
      <c r="E29" s="180"/>
      <c r="F29" s="207"/>
      <c r="G29" s="207">
        <v>0.04</v>
      </c>
      <c r="I29" s="43"/>
    </row>
    <row r="30" spans="1:9" ht="15.75" customHeight="1">
      <c r="B30" s="141" t="s">
        <v>308</v>
      </c>
      <c r="C30" s="95">
        <f>MAX(Asset_Model!D55,0)</f>
        <v>805276</v>
      </c>
      <c r="D30" s="150">
        <f>C30*1.05</f>
        <v>845539.8</v>
      </c>
      <c r="E30" s="161"/>
      <c r="F30" s="161"/>
      <c r="G30" s="161">
        <f>IF(F30&lt;&gt;"",F30,IF(E30&lt;&gt;"",E30,D30))*1.05</f>
        <v>887816.79</v>
      </c>
      <c r="I30" s="43" t="s">
        <v>309</v>
      </c>
    </row>
    <row r="31" spans="1:9" ht="15.75" customHeight="1">
      <c r="B31" s="141" t="s">
        <v>313</v>
      </c>
      <c r="C31" s="171">
        <f>Projections!F19</f>
        <v>0.25</v>
      </c>
      <c r="D31" s="171">
        <f>Projections!G19</f>
        <v>0.25</v>
      </c>
      <c r="E31" s="171" t="str">
        <f>Projections!H19</f>
        <v/>
      </c>
      <c r="F31" s="171" t="str">
        <f>Projections!I19</f>
        <v/>
      </c>
      <c r="G31" s="171">
        <f>IF(F31&lt;&gt;"",F31,IF(E31&lt;&gt;"",E31,D31))</f>
        <v>0.25</v>
      </c>
      <c r="I31" s="43"/>
    </row>
    <row r="32" spans="1:9" ht="15.75" customHeight="1" thickBot="1">
      <c r="B32" s="142" t="s">
        <v>312</v>
      </c>
      <c r="C32" s="278">
        <f>C30*(C29*(1-Projections!F19))</f>
        <v>24158.28</v>
      </c>
      <c r="D32" s="278">
        <f>(D30*D29)*(1-D31)</f>
        <v>25366.194000000003</v>
      </c>
      <c r="E32" s="279" t="str">
        <f>IF(E28="","",(E30*E29)*(1-E31))</f>
        <v/>
      </c>
      <c r="F32" s="279" t="str">
        <f>IF(F28="","",(F30*F29)*(1-F31))</f>
        <v/>
      </c>
      <c r="G32" s="278">
        <f>(G30*G29)*(1-Projections!G19)</f>
        <v>26634.503700000001</v>
      </c>
      <c r="I32" s="43"/>
    </row>
    <row r="33" spans="1:9" ht="15.75" customHeight="1" thickTop="1">
      <c r="B33" s="141" t="s">
        <v>300</v>
      </c>
      <c r="C33" s="51">
        <f>C28-C32</f>
        <v>-2117442.7121999995</v>
      </c>
      <c r="D33" s="210">
        <f>D28-D32</f>
        <v>-257031.45503600006</v>
      </c>
      <c r="E33" s="210" t="str">
        <f>IF(E28="","",E28-E32)</f>
        <v/>
      </c>
      <c r="F33" s="210" t="str">
        <f>IF(F28="","",F28-F32)</f>
        <v/>
      </c>
      <c r="G33" s="274">
        <f>G28-G32</f>
        <v>-262933.06995672005</v>
      </c>
      <c r="I33" s="43" t="s">
        <v>304</v>
      </c>
    </row>
    <row r="34" spans="1:9" ht="15.75" customHeight="1">
      <c r="B34" s="120" t="s">
        <v>301</v>
      </c>
      <c r="C34" s="139">
        <f>C33/(Common_Shares/Data!$C$4)</f>
        <v>-2.6749742935279444</v>
      </c>
      <c r="D34" s="246">
        <f>D33/(Common_Shares/Data!$C$4)</f>
        <v>-0.32470891934309964</v>
      </c>
      <c r="E34" s="246" t="str">
        <f>IF(E33="","",E33/(Common_Shares/Data!$C$4))</f>
        <v/>
      </c>
      <c r="F34" s="246" t="str">
        <f>IF(F33="","",F33/(Common_Shares/Data!$C$4))</f>
        <v/>
      </c>
      <c r="G34" s="139">
        <f>G33/(Common_Shares/Data!$C$4)</f>
        <v>-0.33216445432039532</v>
      </c>
      <c r="H34" s="6"/>
      <c r="I34" s="43"/>
    </row>
    <row r="35" spans="1:9" ht="15.75" customHeight="1">
      <c r="B35" s="141" t="s">
        <v>306</v>
      </c>
      <c r="C35" s="275">
        <f>Dashboard!C31</f>
        <v>7</v>
      </c>
      <c r="D35" s="149">
        <f ca="1">D10</f>
        <v>9.6000000000000002E-2</v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305</v>
      </c>
      <c r="C36" s="75"/>
      <c r="D36" s="280">
        <f ca="1">C35*D35</f>
        <v>0.67200000000000004</v>
      </c>
      <c r="E36" s="280" t="str">
        <f>IF(E35="","", $D$36)</f>
        <v/>
      </c>
      <c r="F36" s="280" t="str">
        <f>IF(F35="","", $D$36)</f>
        <v/>
      </c>
      <c r="G36" s="280">
        <f ca="1">D36</f>
        <v>0.67200000000000004</v>
      </c>
      <c r="H36" s="6"/>
      <c r="I36" s="43"/>
    </row>
    <row r="37" spans="1:9" ht="15.75" customHeight="1" thickTop="1">
      <c r="B37" s="5" t="s">
        <v>302</v>
      </c>
      <c r="C37" s="276">
        <f>Qualitative_Analysis!E64^2</f>
        <v>0.22190829081632654</v>
      </c>
      <c r="D37" s="246">
        <f ca="1">D34-D36</f>
        <v>-0.99670891934309969</v>
      </c>
      <c r="E37" s="246" t="str">
        <f>IF(E34="","",E34-E36)</f>
        <v/>
      </c>
      <c r="F37" s="246" t="str">
        <f>IF(F34="","",F34-F36)</f>
        <v/>
      </c>
      <c r="G37" s="277">
        <f ca="1">G34-G36</f>
        <v>-1.0041644543203954</v>
      </c>
      <c r="I37" s="43" t="s">
        <v>303</v>
      </c>
    </row>
    <row r="38" spans="1:9" ht="15.75" customHeight="1">
      <c r="B38" s="5" t="s">
        <v>125</v>
      </c>
      <c r="C38" s="144"/>
      <c r="D38" s="149">
        <f ca="1">D11</f>
        <v>1.0960000000000001</v>
      </c>
      <c r="E38" s="149" t="str">
        <f>E11</f>
        <v/>
      </c>
      <c r="F38" s="149" t="str">
        <f>F11</f>
        <v/>
      </c>
      <c r="G38" s="149">
        <f ca="1">IF(F30="",IF(E30="",D38,E38),F38)*(1+G35-C37)</f>
        <v>0.95800451326530622</v>
      </c>
      <c r="I38" s="43"/>
    </row>
    <row r="39" spans="1:9" ht="15.75" customHeight="1">
      <c r="B39" s="85" t="s">
        <v>311</v>
      </c>
      <c r="C39" s="145"/>
      <c r="D39" s="281">
        <f ca="1">D37/D38</f>
        <v>-0.90940594830574784</v>
      </c>
      <c r="E39" s="281" t="str">
        <f>IF(E37="","",E37/E38)</f>
        <v/>
      </c>
      <c r="F39" s="281" t="str">
        <f>IF(F37="","",F37/F38)</f>
        <v/>
      </c>
      <c r="G39" s="281">
        <f ca="1">G37/G38</f>
        <v>-1.0481834275474919</v>
      </c>
      <c r="I39" s="43"/>
    </row>
    <row r="40" spans="1:9" ht="15.75" customHeight="1">
      <c r="B40" s="20" t="s">
        <v>333</v>
      </c>
      <c r="C40" s="6"/>
      <c r="D40" s="6"/>
      <c r="E40" s="401" t="s">
        <v>321</v>
      </c>
      <c r="F40" s="331"/>
      <c r="G40" s="282">
        <f>Asset_Model!D7</f>
        <v>1.3279128360057053</v>
      </c>
    </row>
    <row r="41" spans="1:9" ht="15.75" customHeight="1">
      <c r="C41" s="6"/>
      <c r="D41" s="6"/>
      <c r="E41" s="399" t="s">
        <v>307</v>
      </c>
      <c r="F41" s="399"/>
      <c r="G41" s="283">
        <f ca="1">MAX((G40+SUM(D39:G39))*Exchange_Rate,0)</f>
        <v>0</v>
      </c>
    </row>
    <row r="42" spans="1:9" ht="15.75" customHeight="1"/>
    <row r="43" spans="1:9" ht="15.75" customHeight="1">
      <c r="A43" s="4"/>
      <c r="B43" s="255" t="s">
        <v>334</v>
      </c>
      <c r="C43" s="6"/>
      <c r="D43" s="6"/>
      <c r="E43" s="22" t="s">
        <v>189</v>
      </c>
      <c r="F43" s="22" t="s">
        <v>327</v>
      </c>
      <c r="G43" s="22" t="s">
        <v>328</v>
      </c>
      <c r="H43" s="84"/>
      <c r="I43" s="104"/>
    </row>
    <row r="44" spans="1:9" ht="15.75" customHeight="1">
      <c r="B44" s="76" t="s">
        <v>279</v>
      </c>
      <c r="C44" s="262">
        <f ca="1">MIN(G24,G41)+ABS(G24-G41)*Qualitative_Analysis!$E$8</f>
        <v>5.4798485626402202</v>
      </c>
      <c r="D44" s="263" t="str">
        <f>Dashboard!J4</f>
        <v>HKD</v>
      </c>
      <c r="E44" s="264">
        <f ca="1">(C44-G16)/C9</f>
        <v>-1.3515049745012186</v>
      </c>
      <c r="F44" s="264">
        <f ca="1">C44/(Data!C29*Exchange_Rate*Data!C4/Common_Shares)</f>
        <v>1.0539237694730899</v>
      </c>
      <c r="G44" s="264">
        <f ca="1">C44/(Data!C7*Data!C4*Exchange_Rate/Common_Shares)</f>
        <v>0.4045481209274307</v>
      </c>
      <c r="I44" s="43"/>
    </row>
    <row r="45" spans="1:9" ht="15.75" customHeight="1">
      <c r="B45" s="6" t="s">
        <v>314</v>
      </c>
      <c r="C45" s="256">
        <f>C4*Data!C4*1/Common_Shares*Exchange_Rate</f>
        <v>13.545603796348407</v>
      </c>
      <c r="D45" s="257" t="str">
        <f>D44</f>
        <v>HKD</v>
      </c>
      <c r="E45" s="223">
        <f>(C45-G16)/C9</f>
        <v>-4.4015682661076507</v>
      </c>
      <c r="F45" s="223">
        <f>C45/(Asset_Model!I3*Exchange_Rate*Data!C4/Common_Shares)</f>
        <v>2.6564754301638298</v>
      </c>
      <c r="G45" s="223">
        <f>C45/(Data!C7*Data!C4*Exchange_Rate/Common_Shares)</f>
        <v>1</v>
      </c>
      <c r="I45" s="43"/>
    </row>
    <row r="46" spans="1:9" ht="15.75" customHeight="1">
      <c r="B46" s="258" t="s">
        <v>315</v>
      </c>
      <c r="C46" s="259">
        <f ca="1">MIN(C45,C44)+ABS(C45-C44)*Qualitative_Analysis!E64</f>
        <v>9.2793954030906143</v>
      </c>
      <c r="D46" s="257" t="str">
        <f>D45</f>
        <v>HKD</v>
      </c>
      <c r="E46" s="223">
        <f ca="1">(C46-G16)/C9</f>
        <v>-2.7883026465115353</v>
      </c>
      <c r="F46" s="223">
        <f ca="1">C46/(Asset_Model!I3*Exchange_Rate*Data!C4/Common_Shares)</f>
        <v>1.8198144775008573</v>
      </c>
      <c r="G46" s="223">
        <f ca="1">C46/(Data!C7*Data!C4*Exchange_Rate/Common_Shares)</f>
        <v>0.6850484882476876</v>
      </c>
    </row>
    <row r="47" spans="1:9" ht="15.75" customHeight="1">
      <c r="B47" s="84" t="s">
        <v>280</v>
      </c>
      <c r="C47" s="260">
        <f ca="1">MAX(G41,C44)/(1+Dashboard!I14)</f>
        <v>4.3838788501121764</v>
      </c>
      <c r="D47" s="261" t="str">
        <f>D45</f>
        <v>HKD</v>
      </c>
      <c r="E47" s="224">
        <f ca="1">(C47-G16)/C9</f>
        <v>-0.93706430626420134</v>
      </c>
      <c r="F47" s="224">
        <f ca="1">C47/(Asset_Model!I3*Exchange_Rate*Data!C4/Common_Shares)</f>
        <v>0.85973771485013251</v>
      </c>
      <c r="G47" s="224">
        <f ca="1">C47/(Data!C7*Data!C4*Exchange_Rate/Common_Shares)</f>
        <v>0.32363849674194461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22:G23">
    <cfRule type="cellIs" dxfId="2" priority="3" operator="equal">
      <formula>#REF!</formula>
    </cfRule>
  </conditionalFormatting>
  <conditionalFormatting sqref="E4:F12 E28:F39">
    <cfRule type="containsBlanks" dxfId="1" priority="17">
      <formula>LEN(TRIM(E4))=0</formula>
    </cfRule>
  </conditionalFormatting>
  <conditionalFormatting sqref="G28:G32">
    <cfRule type="containsBlanks" dxfId="0" priority="4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G15" sqref="G15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4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4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4">
      <c r="B5" s="6" t="s">
        <v>228</v>
      </c>
      <c r="C5" s="60"/>
      <c r="D5" s="58">
        <f>AVERAGE(D12:D16)</f>
        <v>2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4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4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4">
      <c r="B8" s="61" t="s">
        <v>129</v>
      </c>
      <c r="C8" s="60"/>
      <c r="D8" s="58">
        <f>AVERAGE(D3:D7)</f>
        <v>2.12</v>
      </c>
      <c r="E8" s="215">
        <f>D8/4</f>
        <v>0.53</v>
      </c>
      <c r="G8" s="45"/>
    </row>
    <row r="9" spans="1:7" ht="14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4</v>
      </c>
      <c r="E13" s="175" t="s">
        <v>137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339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340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3</v>
      </c>
      <c r="E16" s="175" t="s">
        <v>128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349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341</v>
      </c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1</v>
      </c>
      <c r="E28" s="175" t="s">
        <v>135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0.35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0</v>
      </c>
      <c r="E31" s="175" t="s">
        <v>150</v>
      </c>
      <c r="F31" s="6"/>
      <c r="G31" s="119"/>
    </row>
    <row r="32" spans="2:7" ht="15" customHeight="1">
      <c r="B32" s="32" t="s">
        <v>236</v>
      </c>
      <c r="D32" s="63">
        <f t="shared" si="3"/>
        <v>2</v>
      </c>
      <c r="E32" s="175" t="s">
        <v>127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3</v>
      </c>
      <c r="E35" s="175" t="s">
        <v>128</v>
      </c>
      <c r="G35" s="119"/>
    </row>
    <row r="36" spans="2:7" ht="15" customHeight="1">
      <c r="B36" s="1" t="s">
        <v>151</v>
      </c>
      <c r="D36" s="64">
        <f>SUM(D37:D41)/(5*4)</f>
        <v>0.8</v>
      </c>
      <c r="E36" s="18" t="str">
        <f>IF(D36&gt;80%,"Very High",IF(D36&lt;=20%,"Very Low",IF(D36&lt;=40%,"Low",IF(D36&lt;=60%,"Medium","High"))))</f>
        <v>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0</v>
      </c>
      <c r="E41" s="175" t="s">
        <v>150</v>
      </c>
      <c r="G41" s="119"/>
    </row>
    <row r="42" spans="2:7" ht="15" customHeight="1">
      <c r="B42" s="1" t="s">
        <v>153</v>
      </c>
      <c r="D42" s="64">
        <f>SUM(D43:D48)/(6*4)</f>
        <v>0.33333333333333331</v>
      </c>
      <c r="E42" s="18" t="str">
        <f>IF(D42&gt;80%,"Very High",IF(D42&lt;=20%,"Very Low",IF(D42&lt;=40%,"Low",IF(D42&lt;=60%,"Medium","High"))))</f>
        <v>Low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3</v>
      </c>
      <c r="E43" s="175" t="s">
        <v>128</v>
      </c>
      <c r="F43" s="6"/>
      <c r="G43" s="119"/>
    </row>
    <row r="44" spans="2:7" ht="15" customHeight="1">
      <c r="B44" s="32" t="s">
        <v>155</v>
      </c>
      <c r="D44" s="63">
        <f t="shared" si="5"/>
        <v>1</v>
      </c>
      <c r="E44" s="175" t="s">
        <v>135</v>
      </c>
      <c r="F44" s="6"/>
      <c r="G44" s="119"/>
    </row>
    <row r="45" spans="2:7" ht="15" customHeight="1">
      <c r="B45" s="32" t="s">
        <v>156</v>
      </c>
      <c r="D45" s="63">
        <f t="shared" si="5"/>
        <v>1</v>
      </c>
      <c r="E45" s="175" t="s">
        <v>135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3</v>
      </c>
      <c r="E47" s="175" t="s">
        <v>128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0.34523809523809523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1.9047619047619047</v>
      </c>
      <c r="E54" s="175" t="s">
        <v>329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1</v>
      </c>
      <c r="E56" s="175" t="s">
        <v>135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1</v>
      </c>
      <c r="E58" s="175" t="s">
        <v>135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297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0.53428571428571436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1.8842857142857143</v>
      </c>
      <c r="E64" s="217">
        <f>AVERAGE(AVERAGE(D12:D16)/4,AVERAGE(D18:D22)/4,AVERAGE(D24:D28)/4,D62)</f>
        <v>0.47107142857142859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2023-08-26T10:09:23Z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