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13_ncr:1_{4AA1ADFF-2C15-C64F-A90C-1FE7AE32ED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5" i="7" l="1"/>
  <c r="E16" i="7"/>
  <c r="C3" i="7"/>
  <c r="E6" i="1"/>
  <c r="E7" i="7"/>
  <c r="E9" i="7" s="1"/>
  <c r="G9" i="7" s="1"/>
  <c r="E6" i="7"/>
  <c r="E4" i="7"/>
  <c r="C15" i="7"/>
  <c r="D11" i="4"/>
  <c r="F40" i="1"/>
  <c r="E26" i="1"/>
  <c r="C12" i="1"/>
  <c r="E7" i="3"/>
  <c r="C36" i="1"/>
  <c r="C35" i="1"/>
  <c r="C11" i="4"/>
  <c r="E6" i="4"/>
  <c r="C9" i="7"/>
  <c r="D5" i="7" s="1"/>
  <c r="D7" i="7" l="1"/>
  <c r="D6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 l="1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15" i="7" l="1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0" i="7" l="1"/>
  <c r="I4" i="3" l="1"/>
  <c r="D4" i="3"/>
  <c r="D6" i="1"/>
  <c r="C29" i="4" l="1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6" i="7"/>
  <c r="C18" i="7"/>
  <c r="E18" i="7" s="1"/>
  <c r="B3" i="7"/>
  <c r="C17" i="7"/>
  <c r="C22" i="7" s="1"/>
  <c r="C25" i="7" s="1"/>
  <c r="E10" i="7"/>
  <c r="G18" i="7" l="1"/>
  <c r="G19" i="7" s="1"/>
  <c r="E19" i="7"/>
  <c r="G16" i="7"/>
  <c r="E15" i="7"/>
  <c r="C4" i="4"/>
  <c r="C7" i="4" s="1"/>
  <c r="C8" i="4" s="1"/>
  <c r="C9" i="4" s="1"/>
  <c r="C10" i="4" s="1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7" i="7" l="1"/>
  <c r="E22" i="7" s="1"/>
  <c r="E23" i="7" s="1"/>
  <c r="E25" i="7" s="1"/>
  <c r="E24" i="7" s="1"/>
  <c r="G15" i="7"/>
  <c r="D52" i="3"/>
  <c r="C20" i="4" s="1"/>
  <c r="D20" i="4" s="1"/>
  <c r="I53" i="3"/>
  <c r="C44" i="3"/>
  <c r="C25" i="3"/>
  <c r="I7" i="3" s="1"/>
  <c r="E21" i="7" l="1"/>
  <c r="G17" i="7"/>
  <c r="G22" i="7" s="1"/>
  <c r="I21" i="7" s="1"/>
  <c r="I3" i="7" s="1"/>
  <c r="F3" i="4" s="1"/>
  <c r="G4" i="4" s="1"/>
  <c r="B24" i="4" s="1"/>
  <c r="G2" i="4" s="1"/>
  <c r="D4" i="4"/>
  <c r="E20" i="7"/>
  <c r="G20" i="7" s="1"/>
  <c r="C45" i="3"/>
  <c r="E12" i="3"/>
  <c r="G21" i="7" l="1"/>
  <c r="G23" i="7"/>
  <c r="I23" i="7" s="1"/>
  <c r="I25" i="7" s="1"/>
  <c r="I24" i="7" s="1"/>
  <c r="D7" i="4"/>
  <c r="D5" i="4"/>
  <c r="D53" i="5"/>
  <c r="D8" i="4" l="1"/>
  <c r="D9" i="4" s="1"/>
  <c r="D10" i="4" s="1"/>
  <c r="E7" i="4"/>
  <c r="F4" i="4"/>
  <c r="F8" i="4" s="1"/>
  <c r="F9" i="4" s="1"/>
  <c r="G25" i="7"/>
  <c r="E4" i="4" s="1"/>
  <c r="E35" i="3"/>
  <c r="G24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D8" i="5" s="1"/>
  <c r="E8" i="5" s="1"/>
  <c r="F39" i="1" s="1"/>
  <c r="F41" i="1"/>
  <c r="E5" i="5"/>
  <c r="C30" i="4" l="1"/>
  <c r="D14" i="1" s="1"/>
  <c r="F46" i="1" s="1"/>
  <c r="C33" i="4" l="1"/>
  <c r="H14" i="1" s="1"/>
  <c r="J25" i="1" s="1"/>
  <c r="D30" i="4"/>
  <c r="F14" i="1"/>
  <c r="I35" i="1" s="1"/>
  <c r="I36" i="1" l="1"/>
  <c r="F45" i="1"/>
  <c r="F33" i="4"/>
  <c r="E33" i="4"/>
  <c r="B17" i="1"/>
  <c r="J17" i="1" s="1"/>
  <c r="D16" i="1"/>
  <c r="D18" i="1"/>
  <c r="F42" i="1" l="1"/>
  <c r="E42" i="1" s="1"/>
  <c r="F48" i="1" s="1"/>
  <c r="F49" i="1"/>
  <c r="E49" i="1"/>
  <c r="D17" i="1"/>
  <c r="F17" i="1"/>
  <c r="E50" i="1" l="1"/>
  <c r="F50" i="1" s="1"/>
</calcChain>
</file>

<file path=xl/sharedStrings.xml><?xml version="1.0" encoding="utf-8"?>
<sst xmlns="http://schemas.openxmlformats.org/spreadsheetml/2006/main" count="418" uniqueCount="354">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</sst>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5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165" fontId="4" fillId="9" borderId="13" xfId="0" applyNumberFormat="1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3" zoomScale="132" zoomScaleNormal="100" workbookViewId="0">
      <selection activeCell="F43" sqref="F43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86" t="s">
        <v>313</v>
      </c>
      <c r="D3" s="387"/>
      <c r="E3" s="15"/>
      <c r="G3" s="7" t="s">
        <v>2</v>
      </c>
      <c r="I3" s="396" t="s">
        <v>3</v>
      </c>
      <c r="J3" s="397"/>
    </row>
    <row r="4" spans="1:12" ht="15.75" customHeight="1" x14ac:dyDescent="0.15">
      <c r="B4" s="5" t="s">
        <v>4</v>
      </c>
      <c r="C4" s="388" t="s">
        <v>314</v>
      </c>
      <c r="D4" s="389"/>
      <c r="E4" s="6"/>
      <c r="G4" s="5" t="s">
        <v>5</v>
      </c>
      <c r="I4" s="32">
        <v>11.62</v>
      </c>
      <c r="J4" s="33" t="s">
        <v>6</v>
      </c>
      <c r="K4" s="152"/>
    </row>
    <row r="5" spans="1:12" ht="15.75" customHeight="1" x14ac:dyDescent="0.15">
      <c r="B5" s="5" t="s">
        <v>7</v>
      </c>
      <c r="C5" s="390">
        <v>44959</v>
      </c>
      <c r="D5" s="389"/>
      <c r="E5" s="122" t="str">
        <f ca="1">IF(C5+30&gt;=TODAY(),"Patience Premium","")</f>
        <v/>
      </c>
      <c r="G5" s="5" t="s">
        <v>8</v>
      </c>
      <c r="I5" s="398">
        <v>690959695</v>
      </c>
      <c r="J5" s="399"/>
      <c r="K5" s="151"/>
      <c r="L5" s="85"/>
    </row>
    <row r="6" spans="1:12" ht="15.75" customHeight="1" x14ac:dyDescent="0.15">
      <c r="B6" s="12" t="s">
        <v>252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0">
        <f>I4*I5/1000000</f>
        <v>8028.9516558999994</v>
      </c>
      <c r="J6" s="401"/>
      <c r="K6" s="151"/>
    </row>
    <row r="7" spans="1:12" ht="15.75" customHeight="1" x14ac:dyDescent="0.15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24.333253492565717</v>
      </c>
      <c r="J9" s="48">
        <f>IF(I9="NNI","NNI",1/I9)</f>
        <v>4.1096025252254878E-2</v>
      </c>
    </row>
    <row r="10" spans="1:12" ht="15.75" customHeight="1" x14ac:dyDescent="0.15">
      <c r="B10" s="3" t="s">
        <v>269</v>
      </c>
      <c r="C10" s="299" t="s">
        <v>270</v>
      </c>
      <c r="D10" s="299">
        <v>2.8999999999999998E-2</v>
      </c>
      <c r="E10" s="5"/>
      <c r="G10" s="5" t="s">
        <v>14</v>
      </c>
      <c r="I10" s="138">
        <f>I4/(Data!C28*I12*Data!C4/Common_Shares)</f>
        <v>0.40060259174822543</v>
      </c>
      <c r="J10" s="130">
        <f>IF(Asset_Model!D60/'FCFF Model'!C4&lt;0,"Negative EV",Asset_Model!D60/'FCFF Model'!C4)</f>
        <v>6.6079345863413881</v>
      </c>
    </row>
    <row r="11" spans="1:12" ht="15.75" customHeight="1" thickBot="1" x14ac:dyDescent="0.2">
      <c r="B11" s="312" t="s">
        <v>273</v>
      </c>
      <c r="C11" s="410">
        <f ca="1">C12-D10</f>
        <v>5.1000000000000004E-2</v>
      </c>
      <c r="D11" s="411"/>
      <c r="E11" s="13"/>
      <c r="G11" s="5" t="s">
        <v>15</v>
      </c>
      <c r="H11" s="6"/>
      <c r="I11" s="408" t="s">
        <v>6</v>
      </c>
      <c r="J11" s="409"/>
    </row>
    <row r="12" spans="1:12" ht="15.75" customHeight="1" thickTop="1" x14ac:dyDescent="0.15">
      <c r="B12" s="313" t="s">
        <v>146</v>
      </c>
      <c r="C12" s="364">
        <f ca="1">IF(C10="US",6%,8%)*IF($C$5+30&gt;=TODAY(),1.2,1)</f>
        <v>0.08</v>
      </c>
      <c r="D12" s="36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213</v>
      </c>
      <c r="D14" s="184">
        <f ca="1">MIN('FCFF Model'!C30,'FCFF Model'!E30)</f>
        <v>11.274263452830414</v>
      </c>
      <c r="E14" s="127" t="s">
        <v>230</v>
      </c>
      <c r="F14" s="184">
        <f ca="1">MAX('FCFF Model'!C30,'FCFF Model'!E30)</f>
        <v>13.329505058218302</v>
      </c>
      <c r="G14" s="185" t="s">
        <v>24</v>
      </c>
      <c r="H14" s="193">
        <f ca="1">IF('FCFF Model'!C33&lt;0, "Error", 'FCFF Model'!C33)</f>
        <v>12.590806485288581</v>
      </c>
      <c r="I14" s="133"/>
      <c r="J14" s="133"/>
    </row>
    <row r="15" spans="1:12" ht="15.75" customHeight="1" x14ac:dyDescent="0.15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11.62</v>
      </c>
      <c r="C16" s="374">
        <v>0.1</v>
      </c>
      <c r="D16" s="159">
        <f ca="1">H14/B16-1-C16</f>
        <v>-1.6453830870173741E-2</v>
      </c>
      <c r="E16" s="369">
        <f>'FCFF Model'!D11*Exchange_Rate</f>
        <v>0.5</v>
      </c>
      <c r="F16" s="161">
        <f>E16/B16</f>
        <v>4.3029259896729781E-2</v>
      </c>
      <c r="G16" s="377" t="s">
        <v>25</v>
      </c>
      <c r="H16" s="402">
        <f>('FCFF Model'!G19)*Exchange_Rate</f>
        <v>7.5118325099990093</v>
      </c>
      <c r="I16" s="377" t="s">
        <v>26</v>
      </c>
      <c r="J16" s="206">
        <f>B16-$H$16</f>
        <v>4.1081674900009899</v>
      </c>
    </row>
    <row r="17" spans="1:10" ht="15.75" customHeight="1" x14ac:dyDescent="0.15">
      <c r="B17" s="289">
        <f ca="1">H14/(1+C16)</f>
        <v>11.446187713898709</v>
      </c>
      <c r="C17" s="375"/>
      <c r="D17" s="288">
        <f ca="1">H14/B17-1-C16</f>
        <v>0</v>
      </c>
      <c r="E17" s="370"/>
      <c r="F17" s="162">
        <f ca="1">E16/B17</f>
        <v>4.3682666447350617E-2</v>
      </c>
      <c r="G17" s="378"/>
      <c r="H17" s="403"/>
      <c r="I17" s="378"/>
      <c r="J17" s="205">
        <f ca="1">B17-$H$16</f>
        <v>3.9343552038996998</v>
      </c>
    </row>
    <row r="18" spans="1:10" ht="15.75" customHeight="1" x14ac:dyDescent="0.15">
      <c r="B18" s="353">
        <v>11.08</v>
      </c>
      <c r="C18" s="376"/>
      <c r="D18" s="160">
        <f ca="1">H14/B18-1-C16</f>
        <v>3.6354375928572352E-2</v>
      </c>
      <c r="E18" s="371"/>
      <c r="F18" s="163">
        <f>E16/B18</f>
        <v>4.5126353790613721E-2</v>
      </c>
      <c r="G18" s="379"/>
      <c r="H18" s="404"/>
      <c r="I18" s="379"/>
      <c r="J18" s="207">
        <f>B18-$H$16</f>
        <v>3.5681674900009908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250</v>
      </c>
      <c r="D20" s="290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393"/>
      <c r="D21" s="394"/>
      <c r="E21" s="394"/>
      <c r="F21" s="394"/>
      <c r="G21" s="394"/>
      <c r="H21" s="394"/>
      <c r="I21" s="394"/>
      <c r="J21" s="395"/>
    </row>
    <row r="22" spans="1:10" ht="52.5" customHeight="1" x14ac:dyDescent="0.15">
      <c r="A22" s="6"/>
      <c r="B22" s="24" t="s">
        <v>29</v>
      </c>
      <c r="C22" s="406"/>
      <c r="D22" s="407"/>
      <c r="E22" s="407"/>
      <c r="F22" s="407"/>
      <c r="G22" s="406"/>
      <c r="H22" s="406"/>
      <c r="I22" s="407"/>
      <c r="J22" s="407"/>
    </row>
    <row r="23" spans="1:10" ht="52.5" customHeight="1" x14ac:dyDescent="0.15">
      <c r="A23" s="6"/>
      <c r="B23" s="25" t="s">
        <v>30</v>
      </c>
      <c r="C23" s="372"/>
      <c r="D23" s="373"/>
      <c r="E23" s="373"/>
      <c r="F23" s="373"/>
      <c r="G23" s="372"/>
      <c r="H23" s="372"/>
      <c r="I23" s="373"/>
      <c r="J23" s="373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10.072645188230865</v>
      </c>
    </row>
    <row r="26" spans="1:10" ht="15.75" customHeight="1" x14ac:dyDescent="0.15">
      <c r="B26" s="23" t="s">
        <v>33</v>
      </c>
      <c r="C26" s="391">
        <v>44988</v>
      </c>
      <c r="D26" s="392"/>
      <c r="E26" s="383" t="str">
        <f>IF(C26="","","Action_Planning")</f>
        <v>Action_Planning</v>
      </c>
      <c r="F26" s="384"/>
      <c r="G26" s="384"/>
      <c r="H26" s="385"/>
      <c r="I26" s="405" t="s">
        <v>34</v>
      </c>
      <c r="J26" s="405"/>
    </row>
    <row r="27" spans="1:10" ht="15.75" customHeight="1" x14ac:dyDescent="0.15">
      <c r="B27" s="23" t="s">
        <v>35</v>
      </c>
      <c r="C27" s="368">
        <f>C31/D25</f>
        <v>5.9499999999999997E-2</v>
      </c>
      <c r="D27" s="367"/>
      <c r="E27" s="366">
        <f>E31/D25</f>
        <v>5.5399999999999998E-2</v>
      </c>
      <c r="F27" s="367"/>
      <c r="G27" s="381">
        <f>G31/D25</f>
        <v>0</v>
      </c>
      <c r="H27" s="382"/>
      <c r="I27" s="380">
        <f>C27+E27+G27</f>
        <v>0.1149</v>
      </c>
      <c r="J27" s="380"/>
    </row>
    <row r="28" spans="1:10" ht="15.75" customHeight="1" x14ac:dyDescent="0.15">
      <c r="B28" s="23" t="s">
        <v>36</v>
      </c>
      <c r="C28" s="416">
        <v>3000</v>
      </c>
      <c r="D28" s="407"/>
      <c r="E28" s="416">
        <v>3000</v>
      </c>
      <c r="F28" s="407"/>
      <c r="G28" s="398"/>
      <c r="H28" s="399"/>
      <c r="I28" s="415">
        <f>C28+E28+G28</f>
        <v>6000</v>
      </c>
      <c r="J28" s="415"/>
    </row>
    <row r="29" spans="1:10" ht="15.75" customHeight="1" x14ac:dyDescent="0.15">
      <c r="B29" s="23" t="s">
        <v>37</v>
      </c>
      <c r="C29" s="417">
        <v>11.9</v>
      </c>
      <c r="D29" s="407"/>
      <c r="E29" s="417">
        <v>11.08</v>
      </c>
      <c r="F29" s="407"/>
      <c r="G29" s="427"/>
      <c r="H29" s="428"/>
      <c r="I29" s="412"/>
      <c r="J29" s="412"/>
    </row>
    <row r="30" spans="1:10" ht="15.75" customHeight="1" x14ac:dyDescent="0.15">
      <c r="B30" s="23" t="s">
        <v>38</v>
      </c>
      <c r="C30" s="418">
        <f>C29*$I$5/1000000</f>
        <v>8222.4203705</v>
      </c>
      <c r="D30" s="419"/>
      <c r="E30" s="418">
        <f>E29*$I$5/1000000</f>
        <v>7655.8334206</v>
      </c>
      <c r="F30" s="419"/>
      <c r="G30" s="435">
        <f>G29*$I$5/1000000</f>
        <v>0</v>
      </c>
      <c r="H30" s="436"/>
      <c r="I30" s="413"/>
      <c r="J30" s="413"/>
    </row>
    <row r="31" spans="1:10" ht="15.75" customHeight="1" x14ac:dyDescent="0.15">
      <c r="B31" s="2" t="s">
        <v>39</v>
      </c>
      <c r="C31" s="422">
        <f>C28*C29</f>
        <v>35700</v>
      </c>
      <c r="D31" s="423"/>
      <c r="E31" s="414">
        <f>E28*E29</f>
        <v>33240</v>
      </c>
      <c r="F31" s="424"/>
      <c r="G31" s="437">
        <f>G28*G29</f>
        <v>0</v>
      </c>
      <c r="H31" s="438"/>
      <c r="I31" s="414">
        <f>C31+E31+G31</f>
        <v>68940</v>
      </c>
      <c r="J31" s="414"/>
    </row>
    <row r="32" spans="1:10" ht="15.75" customHeight="1" x14ac:dyDescent="0.15">
      <c r="B32" s="1" t="s">
        <v>40</v>
      </c>
      <c r="C32" s="420"/>
      <c r="D32" s="421"/>
      <c r="E32" s="425">
        <f>IF(C31=0,"-",(C31+E31)/(C28+E28))</f>
        <v>11.49</v>
      </c>
      <c r="F32" s="367"/>
      <c r="G32" s="117"/>
      <c r="H32" s="117"/>
      <c r="I32" s="425">
        <f>IF(I31=0,"",I31/I28)</f>
        <v>11.49</v>
      </c>
      <c r="J32" s="425"/>
    </row>
    <row r="33" spans="2:10" ht="15.75" customHeight="1" x14ac:dyDescent="0.15">
      <c r="B33" s="1" t="s">
        <v>41</v>
      </c>
      <c r="C33" s="433"/>
      <c r="D33" s="434"/>
      <c r="E33" s="418">
        <f>IF(E32="-","-",E32*$I$5/1000000)</f>
        <v>7939.12689555</v>
      </c>
      <c r="F33" s="419"/>
      <c r="G33" s="118"/>
      <c r="H33" s="118"/>
      <c r="I33" s="418">
        <f>IF(I32="","",I32*$I$5/1000000)</f>
        <v>7939.12689555</v>
      </c>
      <c r="J33" s="418"/>
    </row>
    <row r="34" spans="2:10" ht="15.75" customHeight="1" x14ac:dyDescent="0.15"/>
    <row r="35" spans="2:10" ht="15.75" customHeight="1" x14ac:dyDescent="0.15">
      <c r="B35" s="146" t="s">
        <v>326</v>
      </c>
      <c r="C35" s="429">
        <f>E29</f>
        <v>11.08</v>
      </c>
      <c r="D35" s="430"/>
      <c r="G35" s="431" t="s">
        <v>327</v>
      </c>
      <c r="H35" s="432"/>
      <c r="I35" s="429">
        <f ca="1">F14</f>
        <v>13.329505058218302</v>
      </c>
      <c r="J35" s="430"/>
    </row>
    <row r="36" spans="2:10" ht="15.75" customHeight="1" x14ac:dyDescent="0.15">
      <c r="B36" s="146" t="s">
        <v>328</v>
      </c>
      <c r="C36" s="416">
        <f>E28</f>
        <v>3000</v>
      </c>
      <c r="D36" s="426"/>
      <c r="G36" s="439" t="s">
        <v>338</v>
      </c>
      <c r="H36" s="439"/>
      <c r="I36" s="440">
        <f ca="1">IF(C26="",0,I35/C29-1)</f>
        <v>0.12012647548052957</v>
      </c>
      <c r="J36" s="441"/>
    </row>
    <row r="37" spans="2:10" ht="15.75" customHeight="1" x14ac:dyDescent="0.15"/>
    <row r="38" spans="2:10" ht="15.75" customHeight="1" x14ac:dyDescent="0.15">
      <c r="B38" s="21" t="s">
        <v>339</v>
      </c>
      <c r="G38" s="346" t="s">
        <v>137</v>
      </c>
      <c r="H38" s="133"/>
      <c r="I38" s="133"/>
      <c r="J38" s="133"/>
    </row>
    <row r="39" spans="2:10" ht="15.75" customHeight="1" x14ac:dyDescent="0.15">
      <c r="B39" s="3" t="s">
        <v>340</v>
      </c>
      <c r="F39" s="214">
        <f>'Qualitative Analysis'!E8</f>
        <v>0.6</v>
      </c>
      <c r="G39" s="356"/>
      <c r="H39" s="116"/>
      <c r="I39" s="116"/>
      <c r="J39" s="116"/>
    </row>
    <row r="40" spans="2:10" ht="15.75" customHeight="1" x14ac:dyDescent="0.15">
      <c r="B40" s="3" t="s">
        <v>341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15">
      <c r="B41" s="3" t="s">
        <v>342</v>
      </c>
      <c r="E41" s="357"/>
      <c r="F41" s="358">
        <f>'Qualitative Analysis'!E64</f>
        <v>0.64057823129251701</v>
      </c>
      <c r="G41" s="356" t="s">
        <v>343</v>
      </c>
      <c r="H41" s="116"/>
      <c r="I41" s="116"/>
      <c r="J41" s="116"/>
    </row>
    <row r="42" spans="2:10" ht="15.75" customHeight="1" x14ac:dyDescent="0.15">
      <c r="B42" s="3" t="s">
        <v>351</v>
      </c>
      <c r="E42" s="357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344</v>
      </c>
      <c r="H42" s="74"/>
      <c r="I42" s="74"/>
      <c r="J42" s="74"/>
    </row>
    <row r="43" spans="2:10" ht="15.75" customHeight="1" x14ac:dyDescent="0.15">
      <c r="B43" s="3" t="s">
        <v>352</v>
      </c>
      <c r="F43" s="359">
        <v>0.6</v>
      </c>
      <c r="G43" s="116"/>
      <c r="H43" s="116"/>
      <c r="I43" s="116"/>
      <c r="J43" s="116"/>
    </row>
    <row r="44" spans="2:10" ht="15.75" customHeight="1" x14ac:dyDescent="0.15"/>
    <row r="45" spans="2:10" ht="15.75" customHeight="1" x14ac:dyDescent="0.15">
      <c r="B45" s="3" t="s">
        <v>345</v>
      </c>
      <c r="F45" s="358">
        <f ca="1">I35/C29-1</f>
        <v>0.12012647548052957</v>
      </c>
    </row>
    <row r="46" spans="2:10" ht="15.75" customHeight="1" x14ac:dyDescent="0.15">
      <c r="B46" s="3" t="s">
        <v>346</v>
      </c>
      <c r="F46" s="358">
        <f ca="1">D14/C29-1</f>
        <v>-5.2582903123494562E-2</v>
      </c>
    </row>
    <row r="47" spans="2:10" ht="15.75" customHeight="1" x14ac:dyDescent="0.15"/>
    <row r="48" spans="2:10" ht="15.75" customHeight="1" x14ac:dyDescent="0.15">
      <c r="B48" s="3" t="s">
        <v>347</v>
      </c>
      <c r="F48" s="214">
        <f ca="1">IF(F45&lt;=0,0,AVERAGE(F39:F41,1-F43,E42))</f>
        <v>0.58811564625850332</v>
      </c>
      <c r="G48" s="74"/>
    </row>
    <row r="49" spans="2:8" ht="15.75" customHeight="1" x14ac:dyDescent="0.15">
      <c r="B49" s="3" t="s">
        <v>348</v>
      </c>
      <c r="E49" s="360">
        <f ca="1">F45/ABS(F46)</f>
        <v>2.2845158472594083</v>
      </c>
      <c r="F49" s="361">
        <f ca="1">IF(F46&gt;=0,100,F45/ABS(F46))</f>
        <v>2.2845158472594083</v>
      </c>
      <c r="G49" s="74"/>
    </row>
    <row r="50" spans="2:8" ht="15.75" customHeight="1" x14ac:dyDescent="0.15">
      <c r="B50" s="3" t="s">
        <v>349</v>
      </c>
      <c r="E50" s="107">
        <f ca="1">MAX(F48-ABS((1-F48)/F49),0)/2</f>
        <v>0.20391085517636817</v>
      </c>
      <c r="F50" s="362">
        <f ca="1">MIN(E50,H50)</f>
        <v>0.20391085517636817</v>
      </c>
      <c r="G50" s="363" t="s">
        <v>350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A9D20E8-2A2D-4172-B672-4F2D599C3A28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="161" zoomScaleNormal="100" workbookViewId="0">
      <selection activeCell="C10" sqref="C10:E10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9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0" t="s">
        <v>295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46" zoomScale="170" workbookViewId="0">
      <selection activeCell="E9" sqref="E9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137</v>
      </c>
    </row>
    <row r="3" spans="1:11" ht="15" customHeight="1" x14ac:dyDescent="0.15">
      <c r="B3" s="5" t="s">
        <v>255</v>
      </c>
      <c r="C3" s="6"/>
      <c r="D3" s="273">
        <v>20121092</v>
      </c>
      <c r="E3" s="156" t="str">
        <f>IF((C46-I46)=D3,"", "Error!")</f>
        <v/>
      </c>
      <c r="F3" s="6"/>
      <c r="G3" s="6"/>
      <c r="H3" s="274" t="s">
        <v>256</v>
      </c>
      <c r="I3" s="275">
        <v>19966164</v>
      </c>
      <c r="K3" s="74"/>
    </row>
    <row r="4" spans="1:11" ht="15" customHeight="1" x14ac:dyDescent="0.15">
      <c r="B4" s="5" t="s">
        <v>222</v>
      </c>
      <c r="C4" s="6"/>
      <c r="D4" s="276">
        <f>D3-I3</f>
        <v>154928</v>
      </c>
      <c r="E4" s="150"/>
      <c r="F4" s="6"/>
      <c r="G4" s="6"/>
      <c r="H4" s="60" t="s">
        <v>82</v>
      </c>
      <c r="I4" s="91">
        <f>(I3*Dashboard!I12*Data!C4)/Dashboard!I5</f>
        <v>28.896278819852149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10511377.950000001</v>
      </c>
      <c r="E6" s="14">
        <f>1-D6/D3</f>
        <v>0.47759406149527073</v>
      </c>
      <c r="F6" s="6"/>
      <c r="G6" s="6"/>
      <c r="H6" s="3" t="s">
        <v>330</v>
      </c>
      <c r="I6" s="69">
        <f>C26/I26</f>
        <v>9.2422738930497008</v>
      </c>
      <c r="J6" s="6"/>
      <c r="K6" s="74"/>
    </row>
    <row r="7" spans="1:11" ht="15" customHeight="1" x14ac:dyDescent="0.15">
      <c r="B7" s="53" t="s">
        <v>85</v>
      </c>
      <c r="D7" s="61">
        <f>MAX((D6*Exchange_Rate*Data!C4)/Dashboard!I5, 0)</f>
        <v>15.212722284763661</v>
      </c>
      <c r="E7" s="49" t="str">
        <f>Dashboard!J4</f>
        <v>HKD</v>
      </c>
      <c r="H7" s="3" t="s">
        <v>331</v>
      </c>
      <c r="I7" s="69">
        <f>C25/I26</f>
        <v>9.0486159523642016</v>
      </c>
      <c r="J7" s="6"/>
      <c r="K7" s="116"/>
    </row>
    <row r="8" spans="1:11" ht="15" customHeight="1" x14ac:dyDescent="0.15">
      <c r="D8" s="6"/>
      <c r="H8" s="3" t="s">
        <v>332</v>
      </c>
      <c r="I8" s="69">
        <f>C24/I26</f>
        <v>8.7052471011109471</v>
      </c>
      <c r="K8" s="74"/>
    </row>
    <row r="9" spans="1:11" ht="15" customHeight="1" x14ac:dyDescent="0.2">
      <c r="A9" s="4"/>
      <c r="B9" s="268" t="s">
        <v>251</v>
      </c>
      <c r="C9" s="255"/>
      <c r="D9" s="271">
        <v>44926</v>
      </c>
      <c r="E9" s="290" t="s">
        <v>353</v>
      </c>
      <c r="F9" s="133"/>
      <c r="G9" s="133"/>
      <c r="H9" s="133"/>
      <c r="I9" s="133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5385923</v>
      </c>
      <c r="D11" s="65">
        <v>1</v>
      </c>
      <c r="E11" s="27">
        <f t="shared" ref="E11:E21" si="0">C11*D11</f>
        <v>5385923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15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42005</v>
      </c>
      <c r="J12" s="6"/>
      <c r="K12" s="74"/>
    </row>
    <row r="13" spans="1:11" ht="14" x14ac:dyDescent="0.15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15">
      <c r="B14" s="5" t="s">
        <v>97</v>
      </c>
      <c r="C14" s="64">
        <v>58443</v>
      </c>
      <c r="D14" s="65">
        <v>0.7</v>
      </c>
      <c r="E14" s="27">
        <f t="shared" si="0"/>
        <v>40910.1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15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583407</v>
      </c>
      <c r="J15" s="6"/>
    </row>
    <row r="16" spans="1:11" ht="14" x14ac:dyDescent="0.15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v>214747</v>
      </c>
      <c r="D17" s="65">
        <v>0.6</v>
      </c>
      <c r="E17" s="27">
        <f t="shared" si="0"/>
        <v>128848.2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119655</v>
      </c>
      <c r="D18" s="65">
        <v>0.6</v>
      </c>
      <c r="E18" s="27">
        <f t="shared" si="0"/>
        <v>71793</v>
      </c>
      <c r="G18" s="6"/>
    </row>
    <row r="19" spans="2:10" ht="14" x14ac:dyDescent="0.15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4" x14ac:dyDescent="0.15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4" x14ac:dyDescent="0.15">
      <c r="B21" s="5" t="s">
        <v>105</v>
      </c>
      <c r="C21" s="64">
        <v>1461</v>
      </c>
      <c r="D21" s="65">
        <v>0.95</v>
      </c>
      <c r="E21" s="27">
        <f t="shared" si="0"/>
        <v>1387.95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5444366</v>
      </c>
      <c r="D24" s="68">
        <f>IF(E24=0,0,E24/C24)</f>
        <v>0.99677962502888295</v>
      </c>
      <c r="E24" s="27">
        <f>SUM(E11:E14)</f>
        <v>5426833.0999999996</v>
      </c>
      <c r="F24" s="6"/>
      <c r="G24" s="6"/>
      <c r="H24" s="66" t="s">
        <v>333</v>
      </c>
      <c r="I24" s="69">
        <f>E24/($I$26-I15)</f>
        <v>129.19493155576717</v>
      </c>
      <c r="J24" s="13" t="str">
        <f>IF(I24&lt;1,"Liquidity Problem!","")</f>
        <v/>
      </c>
    </row>
    <row r="25" spans="2:10" ht="15" customHeight="1" x14ac:dyDescent="0.15">
      <c r="B25" s="66" t="s">
        <v>108</v>
      </c>
      <c r="C25" s="70">
        <f>C24+SUM(C15:C17)</f>
        <v>5659113</v>
      </c>
      <c r="D25" s="68">
        <f>IF(E25=0,0,E25/C25)</f>
        <v>0.98172298379622391</v>
      </c>
      <c r="E25" s="27">
        <f>E24+SUM(E15:E17)</f>
        <v>5555681.2999999998</v>
      </c>
      <c r="F25" s="6"/>
      <c r="G25" s="6"/>
      <c r="H25" s="66" t="s">
        <v>334</v>
      </c>
      <c r="I25" s="69">
        <f>E25/$I$26</f>
        <v>8.8832342519810936</v>
      </c>
      <c r="J25" s="13" t="str">
        <f>IF(OR(I25&lt;0.75,C26&lt;I26),"Liquidity Problem!","")</f>
        <v/>
      </c>
    </row>
    <row r="26" spans="2:10" ht="15" customHeight="1" x14ac:dyDescent="0.15">
      <c r="B26" s="5" t="s">
        <v>109</v>
      </c>
      <c r="C26" s="70">
        <f>SUM(C11:C22)</f>
        <v>5780229</v>
      </c>
      <c r="D26" s="14">
        <f t="shared" ref="D26" si="2">E26/C26</f>
        <v>0.97381301848075574</v>
      </c>
      <c r="E26" s="27">
        <f>SUM(E11:E22)</f>
        <v>5628862.25</v>
      </c>
      <c r="H26" s="5" t="s">
        <v>58</v>
      </c>
      <c r="I26" s="64">
        <v>625412</v>
      </c>
      <c r="J26" s="107">
        <f>IF(J24="",1,0)+IF(J25="",1,0)+IF(J44="",1,0)+IF(J45="",1,0)</f>
        <v>4</v>
      </c>
    </row>
    <row r="27" spans="2:10" ht="15" customHeight="1" x14ac:dyDescent="0.15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15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15">
      <c r="B29" s="5" t="s">
        <v>112</v>
      </c>
      <c r="C29" s="64">
        <v>28140</v>
      </c>
      <c r="D29" s="65">
        <v>0.6</v>
      </c>
      <c r="E29" s="27">
        <f t="shared" ref="E29:E40" si="3">C29*D29</f>
        <v>16884</v>
      </c>
      <c r="F29" s="6"/>
      <c r="G29" s="6"/>
      <c r="H29" s="5" t="s">
        <v>113</v>
      </c>
      <c r="I29" s="64">
        <v>57055</v>
      </c>
      <c r="J29" s="6"/>
    </row>
    <row r="30" spans="2:10" ht="15" customHeight="1" x14ac:dyDescent="0.15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15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15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441451</v>
      </c>
      <c r="J32" s="6"/>
    </row>
    <row r="33" spans="2:10" ht="14" x14ac:dyDescent="0.15">
      <c r="B33" s="5" t="s">
        <v>119</v>
      </c>
      <c r="C33" s="64">
        <v>1074</v>
      </c>
      <c r="D33" s="65">
        <v>0.6</v>
      </c>
      <c r="E33" s="220">
        <f t="shared" si="3"/>
        <v>644.4</v>
      </c>
      <c r="F33" s="204" t="s">
        <v>240</v>
      </c>
      <c r="G33" s="94">
        <f>IF(F33="Y",0,1)</f>
        <v>1</v>
      </c>
      <c r="J33" s="6"/>
    </row>
    <row r="34" spans="2:10" ht="14" x14ac:dyDescent="0.15">
      <c r="B34" s="5" t="s">
        <v>120</v>
      </c>
      <c r="C34" s="64">
        <v>15159392</v>
      </c>
      <c r="D34" s="65">
        <v>0.4</v>
      </c>
      <c r="E34" s="220">
        <f t="shared" si="3"/>
        <v>6063756.8000000007</v>
      </c>
      <c r="F34" s="204" t="s">
        <v>239</v>
      </c>
      <c r="G34" s="94">
        <f>IF(F34="Y",0,1)</f>
        <v>0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15">
      <c r="B36" s="5" t="s">
        <v>299</v>
      </c>
      <c r="C36" s="64">
        <v>243053</v>
      </c>
      <c r="D36" s="65">
        <v>0.2</v>
      </c>
      <c r="E36" s="27">
        <f t="shared" si="3"/>
        <v>48610.600000000006</v>
      </c>
      <c r="F36" s="6"/>
      <c r="G36" s="6"/>
    </row>
    <row r="37" spans="2:10" ht="14" x14ac:dyDescent="0.15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15">
      <c r="B39" s="5" t="s">
        <v>122</v>
      </c>
      <c r="C39" s="64">
        <v>33122</v>
      </c>
      <c r="D39" s="65">
        <v>0.95</v>
      </c>
      <c r="E39" s="27">
        <f t="shared" si="3"/>
        <v>31465.899999999998</v>
      </c>
      <c r="F39" s="6"/>
      <c r="G39" s="6"/>
    </row>
    <row r="40" spans="2:10" ht="15" customHeight="1" x14ac:dyDescent="0.15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124</v>
      </c>
      <c r="C42" s="67">
        <f>SUM(C28:C40)</f>
        <v>15464781</v>
      </c>
      <c r="D42" s="14">
        <f>E42/C42</f>
        <v>0.39841247671079216</v>
      </c>
      <c r="E42" s="27">
        <f>SUM(E28:E40)</f>
        <v>6161361.7000000011</v>
      </c>
      <c r="F42" s="6"/>
      <c r="G42" s="6"/>
      <c r="H42" s="5" t="s">
        <v>125</v>
      </c>
      <c r="I42" s="64">
        <v>498506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126</v>
      </c>
      <c r="C44" s="70">
        <f>C24+SUM(C28:C29)</f>
        <v>5472506</v>
      </c>
      <c r="D44" s="68">
        <f>IF(E44=0,0,E44/C44)</f>
        <v>0.99473935706968608</v>
      </c>
      <c r="E44" s="27">
        <f>E24+SUM(E28:E29)</f>
        <v>5443717.0999999996</v>
      </c>
      <c r="F44" s="6"/>
      <c r="G44" s="6"/>
      <c r="H44" s="66" t="s">
        <v>335</v>
      </c>
      <c r="I44" s="69">
        <f>E44/(I46-I15-I32)</f>
        <v>54.953736119523519</v>
      </c>
      <c r="J44" s="13" t="str">
        <f>IF(I44&lt;1,"Liquidity Problem!","")</f>
        <v/>
      </c>
    </row>
    <row r="45" spans="2:10" ht="15" customHeight="1" x14ac:dyDescent="0.15">
      <c r="B45" s="66" t="s">
        <v>127</v>
      </c>
      <c r="C45" s="70">
        <f>C44+(C25-C24)+SUM(C30:C33)</f>
        <v>5688327</v>
      </c>
      <c r="D45" s="68">
        <f>IF(E45=0,0,E45/C45)</f>
        <v>0.97976253826476578</v>
      </c>
      <c r="E45" s="27">
        <f>E44+(E25-E24)+SUM(E30:E33)</f>
        <v>5573209.7000000002</v>
      </c>
      <c r="F45" s="6"/>
      <c r="G45" s="6"/>
      <c r="H45" s="66" t="s">
        <v>336</v>
      </c>
      <c r="I45" s="69">
        <f>E45/$I$46</f>
        <v>4.958733377346034</v>
      </c>
      <c r="J45" s="13" t="str">
        <f>IF(OR(I45&lt;0.5,C46&lt;I46),"Liquidity Problem!","")</f>
        <v/>
      </c>
    </row>
    <row r="46" spans="2:10" ht="15" customHeight="1" x14ac:dyDescent="0.15">
      <c r="B46" s="5" t="s">
        <v>128</v>
      </c>
      <c r="C46" s="70">
        <f>C26+C42</f>
        <v>21245010</v>
      </c>
      <c r="D46" s="14">
        <f>E46/C46</f>
        <v>0.55496438693133121</v>
      </c>
      <c r="E46" s="27">
        <f>E26+E42</f>
        <v>11790223.950000001</v>
      </c>
      <c r="F46" s="6"/>
      <c r="G46" s="6"/>
      <c r="H46" s="5" t="s">
        <v>129</v>
      </c>
      <c r="I46" s="155">
        <f>I26+I42</f>
        <v>1123918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130</v>
      </c>
      <c r="C48" s="21"/>
      <c r="D48" s="52"/>
    </row>
    <row r="49" spans="2:9" ht="14" x14ac:dyDescent="0.15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4" x14ac:dyDescent="0.15">
      <c r="B50" s="5" t="s">
        <v>205</v>
      </c>
      <c r="C50" s="218">
        <f>D4</f>
        <v>154928</v>
      </c>
      <c r="D50" s="214">
        <f>IF(E50=0, 0,E50/C50)</f>
        <v>1</v>
      </c>
      <c r="E50" s="218">
        <f>MAX(C50,C50*Dashboard!I10)</f>
        <v>154928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262</v>
      </c>
      <c r="C52" s="5"/>
      <c r="D52" s="442">
        <f>D53+D54+D55</f>
        <v>99060</v>
      </c>
      <c r="E52" s="443"/>
      <c r="F52" s="53"/>
      <c r="G52" s="53"/>
    </row>
    <row r="53" spans="2:9" thickTop="1" x14ac:dyDescent="0.15">
      <c r="B53" s="58" t="s">
        <v>232</v>
      </c>
      <c r="C53" s="6"/>
      <c r="D53" s="445">
        <f>SUM(I11:I13)+SUM(I28:I30)</f>
        <v>99060</v>
      </c>
      <c r="E53" s="423"/>
      <c r="F53" s="5"/>
      <c r="G53" s="5"/>
      <c r="H53" s="3" t="s">
        <v>337</v>
      </c>
      <c r="I53" s="14">
        <f>D53/I3</f>
        <v>4.9613936858377006E-3</v>
      </c>
    </row>
    <row r="54" spans="2:9" ht="14" x14ac:dyDescent="0.15">
      <c r="B54" s="58" t="s">
        <v>132</v>
      </c>
      <c r="C54" s="6"/>
      <c r="D54" s="450">
        <v>0</v>
      </c>
      <c r="E54" s="407"/>
      <c r="F54" s="6" t="s">
        <v>133</v>
      </c>
      <c r="G54" s="6"/>
    </row>
    <row r="55" spans="2:9" ht="12.75" customHeight="1" x14ac:dyDescent="0.15">
      <c r="B55" s="58" t="s">
        <v>131</v>
      </c>
      <c r="C55" s="6"/>
      <c r="D55" s="450">
        <v>0</v>
      </c>
      <c r="E55" s="407"/>
      <c r="F55" s="5" t="s">
        <v>134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135</v>
      </c>
      <c r="C57" s="5"/>
      <c r="D57" s="444"/>
      <c r="E57" s="444"/>
      <c r="F57" s="19"/>
      <c r="G57" s="19"/>
    </row>
    <row r="58" spans="2:9" ht="15" customHeight="1" x14ac:dyDescent="0.15">
      <c r="B58" s="53" t="s">
        <v>233</v>
      </c>
      <c r="C58" s="213">
        <f>C14+C15+(C19*G19)+(C20*G20)+C29+C30+(C31*G31)+(C33*G33)+(C34*G34)+(C35*G35)</f>
        <v>87657</v>
      </c>
      <c r="D58" s="129">
        <f>IF(E58=0,0,E58/C58)</f>
        <v>0.6666723707176837</v>
      </c>
      <c r="E58" s="221">
        <f>E14+E15+(E19*G19)+(E20*G20)+E29+E30+(E31*G31)+(E33*G33)+(E34*G34)+(E35*G35)</f>
        <v>58438.5</v>
      </c>
      <c r="H58" s="6"/>
    </row>
    <row r="59" spans="2:9" ht="14" x14ac:dyDescent="0.15">
      <c r="B59" s="53" t="s">
        <v>91</v>
      </c>
      <c r="C59" s="213">
        <f>C11+C12+C28</f>
        <v>5385923</v>
      </c>
      <c r="D59" s="214">
        <f>IF(E59=0,0,E59/C59)</f>
        <v>1</v>
      </c>
      <c r="E59" s="215">
        <f>E11+E12+E28</f>
        <v>5385923</v>
      </c>
      <c r="F59" s="6"/>
      <c r="G59" s="6"/>
    </row>
    <row r="60" spans="2:9" ht="14" x14ac:dyDescent="0.15">
      <c r="B60" s="53" t="s">
        <v>136</v>
      </c>
      <c r="C60" s="6"/>
      <c r="D60" s="448">
        <f>((Dashboard!I6*Data!C4)+D52+E50-C58-C59)</f>
        <v>2809359.6558999997</v>
      </c>
      <c r="E60" s="449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261</v>
      </c>
    </row>
    <row r="63" spans="2:9" ht="15" customHeight="1" x14ac:dyDescent="0.15">
      <c r="B63" s="3" t="s">
        <v>264</v>
      </c>
      <c r="D63" s="440">
        <f>((C26-C11-C12-C14-C15-C16*G16-C19*G19-C20*G20)-I26)/Data!C7</f>
        <v>-0.23219181652332552</v>
      </c>
      <c r="E63" s="441"/>
    </row>
    <row r="64" spans="2:9" ht="15" customHeight="1" x14ac:dyDescent="0.15">
      <c r="B64" s="3" t="s">
        <v>263</v>
      </c>
      <c r="D64" s="446">
        <v>7.51E-2</v>
      </c>
      <c r="E64" s="447"/>
      <c r="F64" s="266" t="s">
        <v>248</v>
      </c>
    </row>
    <row r="65" spans="2:5" ht="15" customHeight="1" x14ac:dyDescent="0.15">
      <c r="B65" s="291" t="s">
        <v>265</v>
      </c>
      <c r="D65" s="446">
        <f>D64</f>
        <v>7.51E-2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A3B3D97F-C7F3-4297-8ECB-32CE2A036ED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="156" zoomScaleNormal="100" zoomScalePageLayoutView="80" workbookViewId="0">
      <selection activeCell="E6" sqref="E6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245</v>
      </c>
      <c r="C2" s="285" t="s">
        <v>259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1000HKD)</v>
      </c>
      <c r="C3" s="277">
        <f>IF(Asset_Model!E9="FY",Asset_Model!D9,Data!C3)</f>
        <v>44926</v>
      </c>
      <c r="D3" s="28" t="s">
        <v>247</v>
      </c>
      <c r="E3" s="277">
        <f>EOMONTH(EDATE(C3,12),0)</f>
        <v>45291</v>
      </c>
      <c r="F3" s="28" t="s">
        <v>247</v>
      </c>
      <c r="G3" s="277">
        <f>IF(G10="","",EOMONTH(EDATE(E3,12),0))</f>
        <v>45657</v>
      </c>
      <c r="H3" s="28"/>
      <c r="I3" s="277" t="str">
        <f>IF(I21="","",EOMONTH(EDATE(G3,12),0))</f>
        <v/>
      </c>
      <c r="J3" s="296"/>
      <c r="L3" s="72" t="s">
        <v>137</v>
      </c>
    </row>
    <row r="4" spans="1:13" ht="15.75" customHeight="1" x14ac:dyDescent="0.15">
      <c r="B4" s="292" t="s">
        <v>315</v>
      </c>
      <c r="C4" s="293">
        <v>800033</v>
      </c>
      <c r="D4" s="260">
        <f>C4/C9</f>
        <v>0.57879833399771818</v>
      </c>
      <c r="E4" s="293">
        <f>C4*1.02</f>
        <v>816033.66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316</v>
      </c>
      <c r="C5" s="293">
        <v>318356</v>
      </c>
      <c r="D5" s="260">
        <f>C5/C9</f>
        <v>0.23032040230612683</v>
      </c>
      <c r="E5" s="293">
        <f>C5*1.1</f>
        <v>350191.60000000003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292" t="s">
        <v>317</v>
      </c>
      <c r="C6" s="293">
        <v>173280</v>
      </c>
      <c r="D6" s="260">
        <f>C6/C9</f>
        <v>0.12536254793880328</v>
      </c>
      <c r="E6" s="293">
        <f>C6*1.03</f>
        <v>178478.4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15">
      <c r="B7" s="292" t="s">
        <v>318</v>
      </c>
      <c r="C7" s="293">
        <v>90562</v>
      </c>
      <c r="D7" s="260">
        <f>C7/C9</f>
        <v>6.55187157573517E-2</v>
      </c>
      <c r="E7" s="293">
        <f>C7*1.4</f>
        <v>126786.79999999999</v>
      </c>
      <c r="F7" s="260"/>
      <c r="G7" s="222"/>
      <c r="H7" s="260"/>
      <c r="I7" s="222"/>
      <c r="J7" s="286"/>
      <c r="K7" s="6"/>
      <c r="L7" s="74"/>
      <c r="M7" s="57"/>
    </row>
    <row r="8" spans="1:13" ht="15.75" customHeight="1" x14ac:dyDescent="0.15">
      <c r="B8" s="292" t="s">
        <v>319</v>
      </c>
      <c r="C8" s="293">
        <v>0</v>
      </c>
      <c r="D8" s="260">
        <f>C8/C9</f>
        <v>0</v>
      </c>
      <c r="E8" s="293">
        <v>0</v>
      </c>
      <c r="F8" s="260"/>
      <c r="G8" s="222"/>
      <c r="H8" s="260"/>
      <c r="I8" s="222"/>
      <c r="J8" s="286"/>
      <c r="K8" s="6"/>
      <c r="L8" s="74"/>
      <c r="M8" s="57"/>
    </row>
    <row r="9" spans="1:13" ht="15.75" customHeight="1" x14ac:dyDescent="0.15">
      <c r="B9" s="5" t="s">
        <v>139</v>
      </c>
      <c r="C9" s="180">
        <f>SUM(C4:C8)</f>
        <v>1382231</v>
      </c>
      <c r="D9" s="259"/>
      <c r="E9" s="337">
        <f>SUM(E4:E8)</f>
        <v>1471490.46</v>
      </c>
      <c r="F9" s="259"/>
      <c r="G9" s="337">
        <f>E9*1.04</f>
        <v>1530350.0784</v>
      </c>
      <c r="H9" s="259"/>
      <c r="I9" s="228"/>
      <c r="J9" s="287"/>
      <c r="K9" s="6"/>
      <c r="L9" s="74" t="s">
        <v>266</v>
      </c>
      <c r="M9" s="57"/>
    </row>
    <row r="10" spans="1:13" ht="15.75" customHeight="1" x14ac:dyDescent="0.15">
      <c r="B10" s="17" t="s">
        <v>138</v>
      </c>
      <c r="C10" s="187"/>
      <c r="D10" s="261"/>
      <c r="E10" s="18">
        <f>E9/C9-1</f>
        <v>6.4576369651671905E-2</v>
      </c>
      <c r="F10" s="261"/>
      <c r="G10" s="18">
        <f>G9/E9-1</f>
        <v>4.0000000000000036E-2</v>
      </c>
      <c r="H10" s="261"/>
      <c r="I10" s="73"/>
      <c r="J10" s="327"/>
      <c r="K10" s="6"/>
      <c r="L10" s="74"/>
      <c r="M10" s="57"/>
    </row>
    <row r="11" spans="1:13" ht="15.75" customHeight="1" x14ac:dyDescent="0.15">
      <c r="B11" s="292" t="s">
        <v>320</v>
      </c>
      <c r="C11" s="293">
        <v>102689</v>
      </c>
      <c r="D11" s="260"/>
      <c r="E11" s="293"/>
      <c r="F11" s="260"/>
      <c r="G11" s="222"/>
      <c r="H11" s="260"/>
      <c r="I11" s="222"/>
      <c r="J11" s="286"/>
      <c r="K11" s="6"/>
      <c r="L11" s="74"/>
      <c r="M11" s="57"/>
    </row>
    <row r="12" spans="1:13" ht="15.75" customHeight="1" x14ac:dyDescent="0.15">
      <c r="B12" s="292" t="s">
        <v>321</v>
      </c>
      <c r="C12" s="293">
        <v>411606</v>
      </c>
      <c r="D12" s="260"/>
      <c r="E12" s="293"/>
      <c r="F12" s="260"/>
      <c r="G12" s="222"/>
      <c r="H12" s="260"/>
      <c r="I12" s="222"/>
      <c r="J12" s="286"/>
      <c r="K12" s="6"/>
      <c r="L12" s="74"/>
      <c r="M12" s="57"/>
    </row>
    <row r="13" spans="1:13" ht="15.75" customHeight="1" x14ac:dyDescent="0.15">
      <c r="B13" s="292" t="s">
        <v>322</v>
      </c>
      <c r="C13" s="293">
        <v>111319</v>
      </c>
      <c r="D13" s="260"/>
      <c r="E13" s="293"/>
      <c r="F13" s="260"/>
      <c r="G13" s="222"/>
      <c r="H13" s="260"/>
      <c r="I13" s="222"/>
      <c r="J13" s="286"/>
      <c r="K13" s="6"/>
      <c r="L13" s="74"/>
      <c r="M13" s="57"/>
    </row>
    <row r="14" spans="1:13" ht="15.75" customHeight="1" x14ac:dyDescent="0.15">
      <c r="B14" s="292" t="s">
        <v>323</v>
      </c>
      <c r="C14" s="293">
        <v>77419</v>
      </c>
      <c r="D14" s="260"/>
      <c r="E14" s="293"/>
      <c r="F14" s="260"/>
      <c r="G14" s="222"/>
      <c r="H14" s="260"/>
      <c r="I14" s="222"/>
      <c r="J14" s="286"/>
      <c r="K14" s="6"/>
      <c r="L14" s="74"/>
      <c r="M14" s="57"/>
    </row>
    <row r="15" spans="1:13" ht="15.75" customHeight="1" x14ac:dyDescent="0.15">
      <c r="B15" s="8" t="s">
        <v>140</v>
      </c>
      <c r="C15" s="181">
        <f>SUM(C11:C14)</f>
        <v>703033</v>
      </c>
      <c r="D15" s="262"/>
      <c r="E15" s="227">
        <f>E9*(1-E16)</f>
        <v>748432.31888532382</v>
      </c>
      <c r="F15" s="262"/>
      <c r="G15" s="281">
        <f>IF(G9="","",G9*(1-G16))</f>
        <v>778369.61164073669</v>
      </c>
      <c r="H15" s="262"/>
      <c r="I15" s="281" t="str">
        <f>IF(I9="","",I9*(1-I16))</f>
        <v/>
      </c>
      <c r="J15" s="328"/>
      <c r="K15" s="6"/>
      <c r="L15" s="116"/>
      <c r="M15" s="1"/>
    </row>
    <row r="16" spans="1:13" ht="15.75" customHeight="1" x14ac:dyDescent="0.15">
      <c r="B16" s="17" t="s">
        <v>48</v>
      </c>
      <c r="C16" s="186">
        <f>(C9-C15)/C9</f>
        <v>0.4913780692228723</v>
      </c>
      <c r="D16" s="186"/>
      <c r="E16" s="73">
        <f>C16</f>
        <v>0.4913780692228723</v>
      </c>
      <c r="F16" s="186"/>
      <c r="G16" s="73">
        <f>E16</f>
        <v>0.4913780692228723</v>
      </c>
      <c r="H16" s="186"/>
      <c r="I16" s="73"/>
      <c r="J16" s="329"/>
      <c r="K16" s="6"/>
      <c r="L16" s="74"/>
    </row>
    <row r="17" spans="2:13" ht="15.75" customHeight="1" x14ac:dyDescent="0.15">
      <c r="B17" s="5" t="s">
        <v>141</v>
      </c>
      <c r="C17" s="27">
        <f>C9-C15</f>
        <v>679198</v>
      </c>
      <c r="D17" s="27"/>
      <c r="E17" s="27">
        <f>E9-E15</f>
        <v>723058.14111467614</v>
      </c>
      <c r="F17" s="27"/>
      <c r="G17" s="27">
        <f>IF(G10="","",G9-G15)</f>
        <v>751980.4667592633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15">
      <c r="B18" s="17" t="s">
        <v>50</v>
      </c>
      <c r="C18" s="189">
        <f>C19/C9</f>
        <v>0.12301634097339735</v>
      </c>
      <c r="D18" s="189"/>
      <c r="E18" s="226">
        <f>C18</f>
        <v>0.12301634097339735</v>
      </c>
      <c r="F18" s="189"/>
      <c r="G18" s="65">
        <f>E18</f>
        <v>0.12301634097339735</v>
      </c>
      <c r="H18" s="189"/>
      <c r="I18" s="65"/>
      <c r="J18" s="330"/>
      <c r="K18" s="6"/>
      <c r="L18" s="74"/>
    </row>
    <row r="19" spans="2:13" ht="15.75" customHeight="1" x14ac:dyDescent="0.15">
      <c r="B19" s="8" t="s">
        <v>142</v>
      </c>
      <c r="C19" s="183">
        <v>170037</v>
      </c>
      <c r="D19" s="263"/>
      <c r="E19" s="76">
        <f>E9*E18</f>
        <v>181017.37216646131</v>
      </c>
      <c r="F19" s="263"/>
      <c r="G19" s="76">
        <f>G9*G18</f>
        <v>188258.06705311977</v>
      </c>
      <c r="H19" s="263"/>
      <c r="I19" s="76"/>
      <c r="J19" s="331"/>
      <c r="K19" s="6"/>
      <c r="L19" s="74"/>
    </row>
    <row r="20" spans="2:13" ht="15.75" customHeight="1" x14ac:dyDescent="0.15">
      <c r="B20" s="17" t="s">
        <v>51</v>
      </c>
      <c r="C20" s="18">
        <f>C22/C9</f>
        <v>0.36836172824947494</v>
      </c>
      <c r="D20" s="18"/>
      <c r="E20" s="18">
        <f>E22/E9</f>
        <v>0.36836172824947494</v>
      </c>
      <c r="F20" s="18"/>
      <c r="G20" s="18">
        <f>E20</f>
        <v>0.36836172824947494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15">
      <c r="B21" s="17" t="s">
        <v>143</v>
      </c>
      <c r="C21" s="188"/>
      <c r="D21" s="264"/>
      <c r="E21" s="14">
        <f>IF(ABS(C22+E22)=ABS(C22)+ABS(E22),IF(E22&lt;0,-1,1)*(E22-C22)/C22,"Turn")</f>
        <v>6.4576369651671725E-2</v>
      </c>
      <c r="F21" s="264"/>
      <c r="G21" s="14">
        <f>IF(G10="","",IF(ABS(E22+G22)=ABS(E22)+ABS(G22),IF(G22&lt;0,-1,1)*(G22-E22)/E22,"Turn"))</f>
        <v>4.0000000000000216E-2</v>
      </c>
      <c r="H21" s="264"/>
      <c r="I21" s="14" t="str">
        <f>IF(I10="","",IF(ABS(G22+I22)=ABS(G22)+ABS(I22),IF(I22&lt;0,-1,1)*(I22-G22)/G22,"Turn"))</f>
        <v/>
      </c>
      <c r="J21" s="332"/>
      <c r="K21" s="6"/>
      <c r="L21" s="77"/>
      <c r="M21" s="78"/>
    </row>
    <row r="22" spans="2:13" ht="15.75" customHeight="1" x14ac:dyDescent="0.15">
      <c r="B22" s="134" t="s">
        <v>243</v>
      </c>
      <c r="C22" s="319">
        <f>C17-C19</f>
        <v>509161</v>
      </c>
      <c r="D22" s="320"/>
      <c r="E22" s="319">
        <f>E17-E19</f>
        <v>542040.76894821483</v>
      </c>
      <c r="F22" s="320"/>
      <c r="G22" s="319">
        <f>IF(G10="","",G17-G19)</f>
        <v>563722.39970614354</v>
      </c>
      <c r="H22" s="320"/>
      <c r="I22" s="319" t="str">
        <f>IF(I10="","",I17-I19)</f>
        <v/>
      </c>
      <c r="J22" s="333"/>
      <c r="K22" s="6"/>
      <c r="L22" s="79"/>
      <c r="M22" s="56"/>
    </row>
    <row r="23" spans="2:13" ht="15.75" customHeight="1" x14ac:dyDescent="0.15">
      <c r="B23" s="315" t="s">
        <v>144</v>
      </c>
      <c r="C23" s="316">
        <v>0.16500000000000001</v>
      </c>
      <c r="D23" s="317"/>
      <c r="E23" s="318">
        <f>IF(E22="","",C23)</f>
        <v>0.16500000000000001</v>
      </c>
      <c r="F23" s="318"/>
      <c r="G23" s="318">
        <f>IF(G22="","",E23)</f>
        <v>0.16500000000000001</v>
      </c>
      <c r="H23" s="318"/>
      <c r="I23" s="318" t="str">
        <f>IF(I22="","",G23)</f>
        <v/>
      </c>
      <c r="J23" s="334"/>
    </row>
    <row r="24" spans="2:13" ht="15.75" customHeight="1" x14ac:dyDescent="0.15">
      <c r="B24" s="324" t="s">
        <v>302</v>
      </c>
      <c r="C24" s="264">
        <f>C25/C15</f>
        <v>0.60473610058133831</v>
      </c>
      <c r="D24" s="326"/>
      <c r="E24" s="325">
        <f>E25/E15</f>
        <v>0.6047361005813382</v>
      </c>
      <c r="F24" s="325"/>
      <c r="G24" s="325">
        <f>IF(G15="","",G25/G15)</f>
        <v>0.60473610058133831</v>
      </c>
      <c r="H24" s="325"/>
      <c r="I24" s="325" t="str">
        <f>IF(I15="","",I25/I15)</f>
        <v/>
      </c>
      <c r="J24" s="335"/>
    </row>
    <row r="25" spans="2:13" ht="15.75" customHeight="1" x14ac:dyDescent="0.15">
      <c r="B25" s="321" t="s">
        <v>80</v>
      </c>
      <c r="C25" s="322">
        <f>IF(C22&lt;=0,C22,C22*(1-C23))</f>
        <v>425149.435</v>
      </c>
      <c r="D25" s="322"/>
      <c r="E25" s="323">
        <f>IF(E22="","",IF(E22&lt;=0,E22,E22*(1-E23)))</f>
        <v>452604.04207175935</v>
      </c>
      <c r="F25" s="322"/>
      <c r="G25" s="323">
        <f>IF(G22="","",IF(G22&lt;=0,G22,G22*(1-G23)))</f>
        <v>470708.20375462982</v>
      </c>
      <c r="H25" s="322"/>
      <c r="I25" s="323" t="str">
        <f>IF(I22="","",IF(I22&lt;=0,I22,I22*(1-I23)))</f>
        <v/>
      </c>
      <c r="J25" s="336"/>
    </row>
    <row r="26" spans="2:13" ht="15.75" customHeight="1" x14ac:dyDescent="0.15"/>
    <row r="27" spans="2:13" ht="15.75" customHeight="1" x14ac:dyDescent="0.15"/>
    <row r="28" spans="2:13" ht="15.75" customHeight="1" x14ac:dyDescent="0.15"/>
    <row r="29" spans="2:13" ht="15.75" customHeight="1" x14ac:dyDescent="0.15"/>
    <row r="30" spans="2:13" ht="15.75" customHeight="1" x14ac:dyDescent="0.15"/>
    <row r="31" spans="2:13" ht="15.75" customHeight="1" x14ac:dyDescent="0.15"/>
    <row r="32" spans="2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</sheetData>
  <conditionalFormatting sqref="E23:E25">
    <cfRule type="containsBlanks" dxfId="7" priority="2">
      <formula>LEN(TRIM(E23))=0</formula>
    </cfRule>
  </conditionalFormatting>
  <conditionalFormatting sqref="G25 I25">
    <cfRule type="containsBlanks" dxfId="6" priority="4">
      <formula>LEN(TRIM(G25))=0</formula>
    </cfRule>
  </conditionalFormatting>
  <conditionalFormatting sqref="G15:H18 G20:H22 H19">
    <cfRule type="containsBlanks" priority="11">
      <formula>LEN(TRIM(G15))=0</formula>
    </cfRule>
    <cfRule type="containsBlanks" dxfId="5" priority="10">
      <formula>LEN(TRIM(G15))=0</formula>
    </cfRule>
  </conditionalFormatting>
  <conditionalFormatting sqref="G15:J25">
    <cfRule type="containsBlanks" dxfId="4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3" priority="3">
      <formula>LEN(TRIM(H10))=0</formula>
    </cfRule>
  </conditionalFormatting>
  <conditionalFormatting sqref="I15:J22">
    <cfRule type="containsBlanks" dxfId="2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6" zoomScale="125" zoomScaleNormal="100" zoomScalePageLayoutView="80" workbookViewId="0">
      <selection activeCell="D33" sqref="D33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221</v>
      </c>
      <c r="C2" s="285" t="s">
        <v>259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>
        <f>Operation!G3</f>
        <v>45657</v>
      </c>
      <c r="F3" s="277" t="str">
        <f>Operation!I3</f>
        <v/>
      </c>
      <c r="G3" s="28" t="s">
        <v>257</v>
      </c>
      <c r="I3" s="72" t="s">
        <v>137</v>
      </c>
    </row>
    <row r="4" spans="1:10" ht="15.75" customHeight="1" x14ac:dyDescent="0.15">
      <c r="B4" s="5" t="s">
        <v>80</v>
      </c>
      <c r="C4" s="182">
        <f>Operation!C25</f>
        <v>425149.435</v>
      </c>
      <c r="D4" s="45">
        <f>Operation!E25</f>
        <v>452604.04207175935</v>
      </c>
      <c r="E4" s="45">
        <f>Operation!G25</f>
        <v>470708.20375462982</v>
      </c>
      <c r="F4" s="201" t="str">
        <f>Operation!I25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15">
      <c r="B5" s="17" t="s">
        <v>274</v>
      </c>
      <c r="C5" s="257"/>
      <c r="D5" s="258">
        <f>D4/C4-1</f>
        <v>6.4576369651671683E-2</v>
      </c>
      <c r="E5" s="258">
        <f>IF(E4="","",E4/D4-1)</f>
        <v>4.0000000000000258E-2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0.3</v>
      </c>
      <c r="D6" s="226">
        <v>0.3</v>
      </c>
      <c r="E6" s="65">
        <f>D6</f>
        <v>0.3</v>
      </c>
      <c r="F6" s="308"/>
      <c r="G6" s="199"/>
      <c r="H6" s="6"/>
      <c r="I6" s="77"/>
    </row>
    <row r="7" spans="1:10" ht="15" customHeight="1" thickBot="1" x14ac:dyDescent="0.2">
      <c r="B7" s="81" t="s">
        <v>267</v>
      </c>
      <c r="C7" s="309">
        <f>C4*C6</f>
        <v>127544.8305</v>
      </c>
      <c r="D7" s="309">
        <f>D4*D6</f>
        <v>135781.21262152781</v>
      </c>
      <c r="E7" s="310">
        <f>D7</f>
        <v>135781.21262152781</v>
      </c>
      <c r="F7" s="310"/>
      <c r="G7" s="200"/>
      <c r="H7" s="82"/>
      <c r="I7" s="56"/>
      <c r="J7" s="56"/>
    </row>
    <row r="8" spans="1:10" ht="15.75" customHeight="1" thickTop="1" x14ac:dyDescent="0.15">
      <c r="B8" s="17" t="s">
        <v>145</v>
      </c>
      <c r="C8" s="192">
        <f>IF(C4="","",C4-C7)</f>
        <v>297604.60450000002</v>
      </c>
      <c r="D8" s="191">
        <f>D4-D7</f>
        <v>316822.82945023151</v>
      </c>
      <c r="E8" s="191">
        <f>IF(E4="","",E4-E7)</f>
        <v>334926.99113310198</v>
      </c>
      <c r="F8" s="191" t="str">
        <f>IF(F4="","",F4-F7)</f>
        <v/>
      </c>
      <c r="G8" s="229">
        <f>IF(F4="",IF(E4="",D8,E8),F8)</f>
        <v>334926.99113310198</v>
      </c>
      <c r="H8" s="82"/>
      <c r="I8" s="56"/>
      <c r="J8" s="56"/>
    </row>
    <row r="9" spans="1:10" ht="15.75" customHeight="1" x14ac:dyDescent="0.15">
      <c r="B9" s="203" t="s">
        <v>214</v>
      </c>
      <c r="C9" s="193">
        <f>C8/(Common_Shares/Data!$C$4)</f>
        <v>0.4307119599790839</v>
      </c>
      <c r="D9" s="305">
        <f>D8/(Common_Shares/Data!$C$4)</f>
        <v>0.45852577472008921</v>
      </c>
      <c r="E9" s="305">
        <f>IF(E8="","",E8/(Common_Shares/Data!$C$4))</f>
        <v>0.48472724756123731</v>
      </c>
      <c r="F9" s="305" t="str">
        <f>IF(F8="","",F8/(Common_Shares/Data!$C$4))</f>
        <v/>
      </c>
      <c r="G9" s="306">
        <f>G8*Data!C$4/Dashboard!I5</f>
        <v>0.48472724756123725</v>
      </c>
      <c r="H9" s="82"/>
      <c r="I9" s="56"/>
      <c r="J9" s="56"/>
    </row>
    <row r="10" spans="1:10" ht="15.75" customHeight="1" x14ac:dyDescent="0.15">
      <c r="B10" s="234" t="s">
        <v>244</v>
      </c>
      <c r="C10" s="311">
        <f>C11/C9</f>
        <v>1.0679991333937846</v>
      </c>
      <c r="D10" s="311">
        <f>D11/D9</f>
        <v>1.0904512408385965</v>
      </c>
      <c r="E10" s="343"/>
      <c r="F10" s="343"/>
      <c r="G10" s="235"/>
      <c r="H10" s="82"/>
      <c r="I10" s="56"/>
      <c r="J10" s="56"/>
    </row>
    <row r="11" spans="1:10" ht="15.75" customHeight="1" x14ac:dyDescent="0.15">
      <c r="B11" s="234" t="s">
        <v>258</v>
      </c>
      <c r="C11" s="283">
        <f>0.2+0.26</f>
        <v>0.46</v>
      </c>
      <c r="D11" s="284">
        <f>0.21+0.29</f>
        <v>0.5</v>
      </c>
      <c r="E11" s="344"/>
      <c r="F11" s="344"/>
      <c r="G11" s="282"/>
      <c r="H11" s="82"/>
      <c r="I11" s="56"/>
      <c r="J11" s="56"/>
    </row>
    <row r="12" spans="1:10" ht="15.75" customHeight="1" x14ac:dyDescent="0.15">
      <c r="B12" s="19" t="s">
        <v>275</v>
      </c>
      <c r="C12" s="236">
        <v>0</v>
      </c>
      <c r="D12" s="236">
        <v>0.28999999999999998</v>
      </c>
      <c r="E12" s="345"/>
      <c r="F12" s="345"/>
      <c r="G12" s="230">
        <f>G9*D27</f>
        <v>4.8472724756123728</v>
      </c>
      <c r="H12" s="82"/>
      <c r="I12" s="56"/>
      <c r="J12" s="56"/>
    </row>
    <row r="13" spans="1:10" ht="15.75" customHeight="1" x14ac:dyDescent="0.15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2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15">
      <c r="B15" s="8" t="s">
        <v>298</v>
      </c>
      <c r="C15" s="237">
        <f>C12</f>
        <v>0</v>
      </c>
      <c r="D15" s="195">
        <f ca="1">IF(D12="","",MAX(D9-D11+D12,D12)/D14)</f>
        <v>0.26851851851851849</v>
      </c>
      <c r="E15" s="196">
        <f ca="1">IF(E9="","",E9/E14)</f>
        <v>0.41557548659228161</v>
      </c>
      <c r="F15" s="196" t="str">
        <f>IF(F9="","",F9/F14)</f>
        <v/>
      </c>
      <c r="G15" s="233">
        <f ca="1">IF(G12=0,0,G12/G14)</f>
        <v>3.8479211721507554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15">
      <c r="B18" s="58" t="s">
        <v>237</v>
      </c>
      <c r="C18" s="84">
        <f>Asset_Model!E59</f>
        <v>5385923</v>
      </c>
      <c r="D18" s="219">
        <f>C18/(Dashboard!I5/Data!C4)</f>
        <v>7.7948439525115862</v>
      </c>
      <c r="E18" s="85" t="s">
        <v>234</v>
      </c>
      <c r="G18" s="137">
        <f>C18+C19+C20+C21</f>
        <v>5190373.5</v>
      </c>
    </row>
    <row r="19" spans="1:9" ht="15.75" customHeight="1" x14ac:dyDescent="0.15">
      <c r="B19" s="58" t="s">
        <v>241</v>
      </c>
      <c r="C19" s="84">
        <f>Asset_Model!E58</f>
        <v>58438.5</v>
      </c>
      <c r="D19" s="219">
        <f>C19/(Dashboard!I5/Data!C4)</f>
        <v>8.4575844905106959E-2</v>
      </c>
      <c r="E19" s="85" t="s">
        <v>235</v>
      </c>
      <c r="G19" s="197">
        <f>(G18+MIN(D4,0))*Data!C$4/Dashboard!I5</f>
        <v>7.5118325099990093</v>
      </c>
    </row>
    <row r="20" spans="1:9" ht="15.75" customHeight="1" x14ac:dyDescent="0.15">
      <c r="B20" s="58" t="s">
        <v>219</v>
      </c>
      <c r="C20" s="84">
        <f>-Asset_Model!D52</f>
        <v>-99060</v>
      </c>
      <c r="D20" s="219">
        <f>C20/(Dashboard!I5/Data!C4)</f>
        <v>-0.14336581528102013</v>
      </c>
      <c r="E20" s="453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15">
      <c r="B21" s="85" t="s">
        <v>236</v>
      </c>
      <c r="C21" s="84">
        <f>-Asset_Model!E50</f>
        <v>-154928</v>
      </c>
      <c r="D21" s="219">
        <f>C21/(Dashboard!I5/Data!C4)</f>
        <v>-0.22422147213666349</v>
      </c>
      <c r="E21" s="453"/>
      <c r="F21" s="148">
        <f>D18</f>
        <v>7.7948439525115862</v>
      </c>
      <c r="G21" s="147">
        <f>SUM(D19:D21)</f>
        <v>-0.28301144251257665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220</v>
      </c>
      <c r="C23" s="194" t="str">
        <f>B3</f>
        <v>(Numbers in 1000HKD)</v>
      </c>
      <c r="E23" s="457" t="s">
        <v>227</v>
      </c>
      <c r="F23" s="457"/>
      <c r="G23" s="457"/>
    </row>
    <row r="24" spans="1:9" ht="15.75" customHeight="1" x14ac:dyDescent="0.15">
      <c r="B24" s="127" t="str">
        <f>"Exit after Year "&amp;G4</f>
        <v>Exit after Year 2</v>
      </c>
      <c r="C24" s="127" t="s">
        <v>223</v>
      </c>
      <c r="D24" s="202" t="s">
        <v>216</v>
      </c>
      <c r="E24" s="304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15">
      <c r="B25" s="30" t="s">
        <v>296</v>
      </c>
      <c r="C25" s="14">
        <f>1/D25</f>
        <v>0.16666666666666666</v>
      </c>
      <c r="D25" s="297">
        <v>6</v>
      </c>
      <c r="E25" s="206">
        <f ca="1">G9*D25/G14</f>
        <v>2.3087527032904531</v>
      </c>
      <c r="F25" s="454">
        <f ca="1">SUM(C15:F15)</f>
        <v>0.6840940051108001</v>
      </c>
      <c r="G25" s="206">
        <f ca="1">$F$25+E25+$G$19</f>
        <v>10.504679218400263</v>
      </c>
      <c r="I25" s="74"/>
    </row>
    <row r="26" spans="1:9" ht="15.75" customHeight="1" x14ac:dyDescent="0.15">
      <c r="B26" s="30" t="s">
        <v>297</v>
      </c>
      <c r="C26" s="349">
        <f>1/D26</f>
        <v>0.125</v>
      </c>
      <c r="D26" s="350">
        <v>8</v>
      </c>
      <c r="E26" s="351">
        <f ca="1">G9*D26/G14</f>
        <v>3.078336937720604</v>
      </c>
      <c r="F26" s="455"/>
      <c r="G26" s="351">
        <f ca="1">$F$25+E26+$G$19</f>
        <v>11.274263452830414</v>
      </c>
      <c r="I26" s="74" t="s">
        <v>306</v>
      </c>
    </row>
    <row r="27" spans="1:9" ht="15.75" customHeight="1" x14ac:dyDescent="0.15">
      <c r="B27" s="301" t="s">
        <v>304</v>
      </c>
      <c r="C27" s="302">
        <f t="shared" ref="C27" si="0">1/D27</f>
        <v>0.1</v>
      </c>
      <c r="D27" s="314">
        <v>10</v>
      </c>
      <c r="E27" s="207">
        <f ca="1">G9*D27/G14</f>
        <v>3.8479211721507554</v>
      </c>
      <c r="F27" s="456"/>
      <c r="G27" s="207">
        <f ca="1">$F$25+E27+$G$19</f>
        <v>12.043847687260564</v>
      </c>
      <c r="I27" s="74" t="s">
        <v>305</v>
      </c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15">
      <c r="A30" s="6"/>
      <c r="B30" s="71" t="s">
        <v>148</v>
      </c>
      <c r="C30" s="252">
        <f ca="1">MIN(Asset_Model!D7,G25*Exchange_Rate)+(ABS(Asset_Model!D7-G25*Exchange_Rate)*'Qualitative Analysis'!E8)</f>
        <v>13.329505058218302</v>
      </c>
      <c r="D30" s="23" t="str">
        <f ca="1">IF(C30&lt;E30,"&lt;",IF(C30=E30,"=","&gt;"))</f>
        <v>&gt;</v>
      </c>
      <c r="E30" s="251">
        <f ca="1">G26*Exchange_Rate</f>
        <v>11.274263452830414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51" t="s">
        <v>149</v>
      </c>
      <c r="D32" s="452"/>
      <c r="E32" s="30" t="s">
        <v>215</v>
      </c>
      <c r="F32" s="30" t="s">
        <v>18</v>
      </c>
      <c r="G32" s="30"/>
      <c r="H32" s="6"/>
    </row>
    <row r="33" spans="2:9" ht="15.75" customHeight="1" x14ac:dyDescent="0.15">
      <c r="B33" s="256" t="s">
        <v>229</v>
      </c>
      <c r="C33" s="253">
        <f ca="1">MIN(C30,E30)+ABS(C30-E30)*'Qualitative Analysis'!$E$64</f>
        <v>12.590806485288581</v>
      </c>
      <c r="D33" s="119" t="str">
        <f>Dashboard!J4</f>
        <v>HKD</v>
      </c>
      <c r="E33" s="120">
        <f ca="1">(C33-G19)/C9</f>
        <v>11.792043052475757</v>
      </c>
      <c r="F33" s="158">
        <f ca="1">C33/(Data!C28*Exchange_Rate*Data!C4/Common_Shares)</f>
        <v>0.43407140363226948</v>
      </c>
      <c r="G33" s="87"/>
      <c r="H33" s="6"/>
      <c r="I33" s="74"/>
    </row>
    <row r="34" spans="2:9" ht="15.75" customHeight="1" x14ac:dyDescent="0.15">
      <c r="B34" s="255" t="s">
        <v>228</v>
      </c>
      <c r="C34" s="254">
        <f ca="1">MAX(Asset_Model!D7,(G12/(1+G34)^G4+F25+G19)*Exchange_Rate)</f>
        <v>15.212722284763661</v>
      </c>
      <c r="D34" s="208" t="str">
        <f>D33</f>
        <v>HKD</v>
      </c>
      <c r="E34" s="120">
        <f ca="1">(C34-G19)/C9</f>
        <v>17.879442621325445</v>
      </c>
      <c r="F34" s="158">
        <f ca="1">C34/(Data!C28*Exchange_Rate*Data!C4/Common_Shares)</f>
        <v>0.52446264843565482</v>
      </c>
      <c r="G34" s="280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4" sqref="E4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150</v>
      </c>
      <c r="C2" s="95"/>
      <c r="D2" s="12"/>
      <c r="E2" s="12"/>
      <c r="G2" s="72" t="s">
        <v>137</v>
      </c>
    </row>
    <row r="3" spans="1:7" ht="14" x14ac:dyDescent="0.15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4" x14ac:dyDescent="0.15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4" x14ac:dyDescent="0.15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15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15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15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154</v>
      </c>
      <c r="C10" s="20"/>
      <c r="D10" s="20"/>
      <c r="E10" s="12"/>
      <c r="G10" s="294"/>
    </row>
    <row r="11" spans="1:7" ht="15" customHeight="1" x14ac:dyDescent="0.15">
      <c r="B11" s="99" t="s">
        <v>155</v>
      </c>
      <c r="C11" s="93"/>
      <c r="E11" s="6"/>
      <c r="G11" s="294"/>
    </row>
    <row r="12" spans="1:7" ht="15" customHeight="1" x14ac:dyDescent="0.15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4" t="s">
        <v>308</v>
      </c>
    </row>
    <row r="13" spans="1:7" ht="15" customHeight="1" x14ac:dyDescent="0.15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4"/>
    </row>
    <row r="14" spans="1:7" ht="15" customHeight="1" x14ac:dyDescent="0.15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4"/>
    </row>
    <row r="15" spans="1:7" ht="15" customHeight="1" x14ac:dyDescent="0.15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4"/>
    </row>
    <row r="16" spans="1:7" ht="15" customHeight="1" x14ac:dyDescent="0.15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4"/>
    </row>
    <row r="17" spans="2:7" ht="15" customHeight="1" x14ac:dyDescent="0.15">
      <c r="B17" s="99" t="s">
        <v>162</v>
      </c>
      <c r="D17" s="38"/>
      <c r="E17" s="23"/>
      <c r="G17" s="294"/>
    </row>
    <row r="18" spans="2:7" ht="15" customHeight="1" x14ac:dyDescent="0.15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15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4" t="s">
        <v>309</v>
      </c>
    </row>
    <row r="20" spans="2:7" ht="15" customHeight="1" x14ac:dyDescent="0.15">
      <c r="B20" s="53" t="s">
        <v>164</v>
      </c>
      <c r="D20" s="100">
        <f t="shared" si="1"/>
        <v>0</v>
      </c>
      <c r="E20" s="31" t="s">
        <v>174</v>
      </c>
      <c r="F20" s="6"/>
      <c r="G20" s="294"/>
    </row>
    <row r="21" spans="2:7" ht="15" customHeight="1" x14ac:dyDescent="0.15">
      <c r="B21" s="53" t="s">
        <v>165</v>
      </c>
      <c r="D21" s="100">
        <f t="shared" si="1"/>
        <v>4</v>
      </c>
      <c r="E21" s="31" t="s">
        <v>161</v>
      </c>
      <c r="F21" s="6"/>
      <c r="G21" s="294"/>
    </row>
    <row r="22" spans="2:7" ht="15" customHeight="1" x14ac:dyDescent="0.15">
      <c r="B22" s="53" t="s">
        <v>166</v>
      </c>
      <c r="D22" s="100">
        <f t="shared" si="1"/>
        <v>3</v>
      </c>
      <c r="E22" s="31" t="s">
        <v>152</v>
      </c>
      <c r="F22" s="6"/>
      <c r="G22" s="294"/>
    </row>
    <row r="23" spans="2:7" ht="15" customHeight="1" x14ac:dyDescent="0.15">
      <c r="B23" s="99" t="s">
        <v>167</v>
      </c>
      <c r="D23" s="38"/>
      <c r="E23" s="23"/>
      <c r="G23" s="294"/>
    </row>
    <row r="24" spans="2:7" ht="15" customHeight="1" x14ac:dyDescent="0.15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4" t="s">
        <v>310</v>
      </c>
    </row>
    <row r="25" spans="2:7" ht="15" customHeight="1" x14ac:dyDescent="0.15">
      <c r="B25" s="53" t="s">
        <v>169</v>
      </c>
      <c r="D25" s="100">
        <f t="shared" si="2"/>
        <v>3</v>
      </c>
      <c r="E25" s="31" t="s">
        <v>152</v>
      </c>
      <c r="F25" s="6"/>
      <c r="G25" s="294" t="s">
        <v>311</v>
      </c>
    </row>
    <row r="26" spans="2:7" ht="15" customHeight="1" x14ac:dyDescent="0.15">
      <c r="B26" s="53" t="s">
        <v>282</v>
      </c>
      <c r="D26" s="100">
        <f t="shared" si="2"/>
        <v>2</v>
      </c>
      <c r="E26" s="31" t="s">
        <v>151</v>
      </c>
      <c r="F26" s="6"/>
      <c r="G26" s="294"/>
    </row>
    <row r="27" spans="2:7" ht="15" customHeight="1" x14ac:dyDescent="0.15">
      <c r="B27" s="53" t="s">
        <v>283</v>
      </c>
      <c r="D27" s="100">
        <f t="shared" si="2"/>
        <v>2</v>
      </c>
      <c r="E27" s="31" t="s">
        <v>151</v>
      </c>
      <c r="F27" s="6"/>
      <c r="G27" s="294"/>
    </row>
    <row r="28" spans="2:7" ht="15" customHeight="1" x14ac:dyDescent="0.15">
      <c r="B28" s="53" t="s">
        <v>170</v>
      </c>
      <c r="D28" s="100">
        <f t="shared" si="2"/>
        <v>2</v>
      </c>
      <c r="E28" s="31" t="s">
        <v>151</v>
      </c>
      <c r="F28" s="6"/>
      <c r="G28" s="294"/>
    </row>
    <row r="29" spans="2:7" ht="15" customHeight="1" x14ac:dyDescent="0.15">
      <c r="B29" s="99" t="s">
        <v>171</v>
      </c>
      <c r="D29" s="38"/>
      <c r="E29" s="23"/>
      <c r="G29" s="294"/>
    </row>
    <row r="30" spans="2:7" ht="15" customHeight="1" x14ac:dyDescent="0.15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15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4"/>
    </row>
    <row r="32" spans="2:7" ht="15" customHeight="1" x14ac:dyDescent="0.15">
      <c r="B32" s="53" t="s">
        <v>284</v>
      </c>
      <c r="D32" s="100">
        <f t="shared" si="3"/>
        <v>0</v>
      </c>
      <c r="E32" s="31" t="s">
        <v>174</v>
      </c>
      <c r="F32" s="6"/>
      <c r="G32" s="294"/>
    </row>
    <row r="33" spans="2:7" ht="15" customHeight="1" x14ac:dyDescent="0.15">
      <c r="B33" s="53" t="s">
        <v>285</v>
      </c>
      <c r="D33" s="100">
        <f t="shared" si="3"/>
        <v>0</v>
      </c>
      <c r="E33" s="31" t="s">
        <v>174</v>
      </c>
      <c r="F33" s="6"/>
      <c r="G33" s="294"/>
    </row>
    <row r="34" spans="2:7" ht="15" customHeight="1" x14ac:dyDescent="0.15">
      <c r="B34" s="53" t="s">
        <v>286</v>
      </c>
      <c r="D34" s="100">
        <f t="shared" si="3"/>
        <v>0</v>
      </c>
      <c r="E34" s="31" t="s">
        <v>174</v>
      </c>
      <c r="F34" s="6"/>
      <c r="G34" s="294"/>
    </row>
    <row r="35" spans="2:7" ht="15" customHeight="1" x14ac:dyDescent="0.15">
      <c r="B35" s="53" t="s">
        <v>303</v>
      </c>
      <c r="D35" s="100">
        <f t="shared" si="3"/>
        <v>0</v>
      </c>
      <c r="E35" s="31" t="s">
        <v>174</v>
      </c>
      <c r="G35" s="294"/>
    </row>
    <row r="36" spans="2:7" ht="15" customHeight="1" x14ac:dyDescent="0.15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15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4"/>
    </row>
    <row r="38" spans="2:7" ht="15" customHeight="1" x14ac:dyDescent="0.15">
      <c r="B38" s="53" t="s">
        <v>287</v>
      </c>
      <c r="D38" s="100">
        <f t="shared" si="4"/>
        <v>4</v>
      </c>
      <c r="E38" s="31" t="s">
        <v>161</v>
      </c>
      <c r="F38" s="6"/>
      <c r="G38" s="294"/>
    </row>
    <row r="39" spans="2:7" ht="15" customHeight="1" x14ac:dyDescent="0.15">
      <c r="B39" s="53" t="s">
        <v>288</v>
      </c>
      <c r="D39" s="100">
        <f t="shared" si="4"/>
        <v>4</v>
      </c>
      <c r="E39" s="31" t="s">
        <v>161</v>
      </c>
      <c r="F39" s="6"/>
      <c r="G39" s="294"/>
    </row>
    <row r="40" spans="2:7" ht="15" customHeight="1" x14ac:dyDescent="0.15">
      <c r="B40" s="53" t="s">
        <v>289</v>
      </c>
      <c r="D40" s="100">
        <f t="shared" si="4"/>
        <v>4</v>
      </c>
      <c r="E40" s="31" t="s">
        <v>161</v>
      </c>
      <c r="F40" s="6"/>
      <c r="G40" s="294"/>
    </row>
    <row r="41" spans="2:7" ht="15" customHeight="1" x14ac:dyDescent="0.15">
      <c r="B41" s="53" t="s">
        <v>290</v>
      </c>
      <c r="D41" s="100">
        <f t="shared" si="4"/>
        <v>1</v>
      </c>
      <c r="E41" s="31" t="s">
        <v>159</v>
      </c>
      <c r="G41" s="294"/>
    </row>
    <row r="42" spans="2:7" ht="15" customHeight="1" x14ac:dyDescent="0.15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15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4"/>
    </row>
    <row r="44" spans="2:7" ht="15" customHeight="1" x14ac:dyDescent="0.15">
      <c r="B44" s="53" t="s">
        <v>179</v>
      </c>
      <c r="D44" s="100">
        <f t="shared" si="5"/>
        <v>0</v>
      </c>
      <c r="E44" s="31" t="s">
        <v>174</v>
      </c>
      <c r="F44" s="6"/>
      <c r="G44" s="294"/>
    </row>
    <row r="45" spans="2:7" ht="15" customHeight="1" x14ac:dyDescent="0.15">
      <c r="B45" s="53" t="s">
        <v>180</v>
      </c>
      <c r="D45" s="100">
        <f t="shared" si="5"/>
        <v>0</v>
      </c>
      <c r="E45" s="31" t="s">
        <v>174</v>
      </c>
      <c r="F45" s="6"/>
      <c r="G45" s="294"/>
    </row>
    <row r="46" spans="2:7" ht="15" customHeight="1" x14ac:dyDescent="0.15">
      <c r="B46" s="53" t="s">
        <v>181</v>
      </c>
      <c r="D46" s="100">
        <f t="shared" si="5"/>
        <v>1</v>
      </c>
      <c r="E46" s="31" t="s">
        <v>159</v>
      </c>
      <c r="F46" s="6"/>
      <c r="G46" s="294" t="s">
        <v>312</v>
      </c>
    </row>
    <row r="47" spans="2:7" ht="15" customHeight="1" x14ac:dyDescent="0.15">
      <c r="B47" s="53" t="s">
        <v>182</v>
      </c>
      <c r="D47" s="100">
        <f t="shared" si="5"/>
        <v>3</v>
      </c>
      <c r="E47" s="31" t="s">
        <v>152</v>
      </c>
      <c r="F47" s="6"/>
      <c r="G47" s="294"/>
    </row>
    <row r="48" spans="2:7" ht="15" customHeight="1" x14ac:dyDescent="0.15">
      <c r="B48" s="53" t="s">
        <v>208</v>
      </c>
      <c r="D48" s="100">
        <f t="shared" si="5"/>
        <v>0</v>
      </c>
      <c r="E48" s="31" t="s">
        <v>174</v>
      </c>
      <c r="F48" s="6"/>
      <c r="G48" s="294"/>
    </row>
    <row r="49" spans="2:8" ht="15" customHeight="1" x14ac:dyDescent="0.15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15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4"/>
    </row>
    <row r="51" spans="2:8" ht="15" customHeight="1" x14ac:dyDescent="0.15">
      <c r="B51" s="53" t="s">
        <v>185</v>
      </c>
      <c r="D51" s="100">
        <f t="shared" si="6"/>
        <v>0</v>
      </c>
      <c r="E51" s="31" t="s">
        <v>174</v>
      </c>
      <c r="F51" s="6"/>
      <c r="G51" s="294"/>
    </row>
    <row r="52" spans="2:8" ht="15" customHeight="1" x14ac:dyDescent="0.15">
      <c r="B52" s="53" t="s">
        <v>291</v>
      </c>
      <c r="D52" s="100">
        <f t="shared" si="6"/>
        <v>2</v>
      </c>
      <c r="E52" s="31" t="s">
        <v>151</v>
      </c>
      <c r="G52" s="294"/>
    </row>
    <row r="53" spans="2:8" ht="15" customHeight="1" x14ac:dyDescent="0.15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4"/>
      <c r="H53" s="53"/>
    </row>
    <row r="54" spans="2:8" ht="15" customHeight="1" x14ac:dyDescent="0.15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4"/>
      <c r="H54" s="53"/>
    </row>
    <row r="55" spans="2:8" ht="15" customHeight="1" x14ac:dyDescent="0.15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15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4"/>
      <c r="H56" s="53"/>
    </row>
    <row r="57" spans="2:8" ht="15" customHeight="1" x14ac:dyDescent="0.15">
      <c r="B57" s="53" t="s">
        <v>188</v>
      </c>
      <c r="D57" s="100">
        <f t="shared" si="7"/>
        <v>0</v>
      </c>
      <c r="E57" s="31" t="s">
        <v>174</v>
      </c>
      <c r="F57" s="53"/>
      <c r="G57" s="294"/>
      <c r="H57" s="53"/>
    </row>
    <row r="58" spans="2:8" ht="15" customHeight="1" x14ac:dyDescent="0.15">
      <c r="B58" s="53" t="s">
        <v>209</v>
      </c>
      <c r="D58" s="100">
        <f t="shared" si="7"/>
        <v>0</v>
      </c>
      <c r="E58" s="31" t="s">
        <v>174</v>
      </c>
      <c r="F58" s="53"/>
      <c r="G58" s="294"/>
      <c r="H58" s="53"/>
    </row>
    <row r="59" spans="2:8" ht="15" customHeight="1" x14ac:dyDescent="0.15">
      <c r="B59" s="53" t="s">
        <v>210</v>
      </c>
      <c r="D59" s="100">
        <f t="shared" si="7"/>
        <v>4</v>
      </c>
      <c r="E59" s="31" t="s">
        <v>161</v>
      </c>
      <c r="F59" s="53"/>
      <c r="G59" s="294"/>
      <c r="H59" s="53"/>
    </row>
    <row r="60" spans="2:8" ht="15" customHeight="1" x14ac:dyDescent="0.15">
      <c r="B60" s="53" t="s">
        <v>211</v>
      </c>
      <c r="D60" s="100">
        <f t="shared" si="7"/>
        <v>4</v>
      </c>
      <c r="E60" s="31" t="s">
        <v>161</v>
      </c>
      <c r="F60" s="53"/>
      <c r="G60" s="294"/>
      <c r="H60" s="53"/>
    </row>
    <row r="61" spans="2:8" ht="15" customHeight="1" x14ac:dyDescent="0.15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4"/>
      <c r="H61" s="53"/>
    </row>
    <row r="62" spans="2:8" ht="15" customHeight="1" x14ac:dyDescent="0.15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191</v>
      </c>
      <c r="C66" s="7"/>
      <c r="D66" s="7"/>
      <c r="E66" s="55"/>
    </row>
    <row r="67" spans="2:7" ht="15" customHeight="1" x14ac:dyDescent="0.15">
      <c r="B67" s="106" t="s">
        <v>192</v>
      </c>
      <c r="C67" s="107"/>
      <c r="D67" s="107"/>
      <c r="E67" s="108"/>
    </row>
    <row r="68" spans="2:7" ht="15" customHeight="1" x14ac:dyDescent="0.15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2023-03-28T14:50:35Z</dcterms:modified>
  <cp:category/>
  <cp:contentStatus/>
</cp:coreProperties>
</file>