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D15E1AB9-FA64-4DDA-BF3F-B0E3183F1E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23" i="7" l="1"/>
  <c r="G25" i="7"/>
  <c r="I25" i="7"/>
  <c r="H25" i="7"/>
  <c r="F25" i="7"/>
  <c r="I20" i="7" l="1"/>
  <c r="H20" i="7"/>
  <c r="D35" i="2"/>
  <c r="E35" i="2"/>
  <c r="F35" i="2"/>
  <c r="G35" i="2"/>
  <c r="H35" i="2"/>
  <c r="I35" i="2"/>
  <c r="J35" i="2"/>
  <c r="K35" i="2"/>
  <c r="L35" i="2"/>
  <c r="M35" i="2"/>
  <c r="C35" i="2"/>
  <c r="G8" i="7" l="1"/>
  <c r="G7" i="7"/>
  <c r="G6" i="7"/>
  <c r="G5" i="7"/>
  <c r="G4" i="7"/>
  <c r="D30" i="4"/>
  <c r="F9" i="2"/>
  <c r="E9" i="2"/>
  <c r="D9" i="2"/>
  <c r="C9" i="2"/>
  <c r="F11" i="7" s="1"/>
  <c r="G15" i="7"/>
  <c r="G11" i="7"/>
  <c r="I44" i="3"/>
  <c r="I24" i="3"/>
  <c r="C47" i="3"/>
  <c r="C45" i="3"/>
  <c r="C25" i="3"/>
  <c r="C27" i="3"/>
  <c r="C26" i="3"/>
  <c r="C44" i="3"/>
  <c r="C38" i="3"/>
  <c r="C46" i="3" s="1"/>
  <c r="L18" i="8"/>
  <c r="K18" i="8" s="1"/>
  <c r="J18" i="8" s="1"/>
  <c r="I18" i="8" s="1"/>
  <c r="H18" i="8" s="1"/>
  <c r="G18" i="8" s="1"/>
  <c r="F18" i="8" s="1"/>
  <c r="E18" i="8" s="1"/>
  <c r="D18" i="8" s="1"/>
  <c r="C18" i="8" s="1"/>
  <c r="G9" i="7" l="1"/>
  <c r="G12" i="7" s="1"/>
  <c r="E53" i="2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1" i="7"/>
  <c r="D11" i="7"/>
  <c r="E11" i="7"/>
  <c r="C9" i="7"/>
  <c r="F9" i="7"/>
  <c r="E9" i="7"/>
  <c r="D9" i="7"/>
  <c r="C15" i="7"/>
  <c r="D15" i="7"/>
  <c r="E15" i="7"/>
  <c r="F15" i="7"/>
  <c r="I15" i="3"/>
  <c r="C37" i="1"/>
  <c r="B18" i="1" s="1"/>
  <c r="J20" i="1"/>
  <c r="F42" i="1"/>
  <c r="I22" i="7"/>
  <c r="F4" i="4"/>
  <c r="F5" i="4" s="1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4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2" i="7"/>
  <c r="E14" i="7"/>
  <c r="D14" i="7"/>
  <c r="C14" i="7"/>
  <c r="E12" i="7"/>
  <c r="C13" i="7"/>
  <c r="C18" i="7" s="1"/>
  <c r="C16" i="7" s="1"/>
  <c r="D10" i="7"/>
  <c r="E13" i="7"/>
  <c r="E18" i="7" s="1"/>
  <c r="E16" i="7" s="1"/>
  <c r="E10" i="7"/>
  <c r="D12" i="7"/>
  <c r="D13" i="7"/>
  <c r="D18" i="7" s="1"/>
  <c r="B6" i="4"/>
  <c r="B9" i="4"/>
  <c r="J27" i="1"/>
  <c r="C31" i="4"/>
  <c r="C35" i="4"/>
  <c r="G27" i="4"/>
  <c r="D16" i="7" l="1"/>
  <c r="D17" i="7"/>
  <c r="E17" i="7"/>
  <c r="G10" i="7"/>
  <c r="G22" i="7" s="1"/>
  <c r="B16" i="1" l="1"/>
  <c r="H22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45" i="3" s="1"/>
  <c r="E33" i="3"/>
  <c r="E34" i="3"/>
  <c r="E35" i="3"/>
  <c r="E36" i="3"/>
  <c r="E37" i="3"/>
  <c r="E38" i="3"/>
  <c r="E39" i="3"/>
  <c r="E40" i="3"/>
  <c r="E47" i="3" s="1"/>
  <c r="D47" i="3" s="1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D36" i="2"/>
  <c r="D37" i="2" s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F10" i="7" s="1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D54" i="5" s="1" a="1"/>
  <c r="D54" i="5" s="1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E36" i="2"/>
  <c r="E37" i="2" s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C11" i="1" l="1"/>
  <c r="G16" i="2"/>
  <c r="G48" i="2"/>
  <c r="E46" i="3"/>
  <c r="D46" i="3" s="1"/>
  <c r="E25" i="3"/>
  <c r="E27" i="3"/>
  <c r="E26" i="3"/>
  <c r="I8" i="3"/>
  <c r="C28" i="3"/>
  <c r="C61" i="3"/>
  <c r="D66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2" i="7"/>
  <c r="C7" i="4" s="1"/>
  <c r="I7" i="3"/>
  <c r="F14" i="7"/>
  <c r="G14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3" i="7"/>
  <c r="F18" i="7" s="1"/>
  <c r="D55" i="3"/>
  <c r="C30" i="4" s="1"/>
  <c r="E62" i="3"/>
  <c r="C15" i="4" s="1"/>
  <c r="D15" i="4" s="1"/>
  <c r="F47" i="2"/>
  <c r="C13" i="2"/>
  <c r="F12" i="7"/>
  <c r="I11" i="7" s="1"/>
  <c r="I13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G35" i="4" l="1"/>
  <c r="D26" i="3"/>
  <c r="F26" i="3"/>
  <c r="D27" i="3"/>
  <c r="F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6" i="7"/>
  <c r="F17" i="7"/>
  <c r="C38" i="2"/>
  <c r="E55" i="2"/>
  <c r="I18" i="7"/>
  <c r="I16" i="7" s="1"/>
  <c r="C17" i="4"/>
  <c r="C32" i="4"/>
  <c r="G12" i="2"/>
  <c r="D46" i="4"/>
  <c r="G13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21" i="7"/>
  <c r="F20" i="7" s="1"/>
  <c r="C18" i="4"/>
  <c r="D18" i="4" s="1"/>
  <c r="D53" i="3"/>
  <c r="D24" i="3"/>
  <c r="D52" i="3"/>
  <c r="F17" i="2"/>
  <c r="E17" i="2"/>
  <c r="G36" i="4" l="1"/>
  <c r="F24" i="3"/>
  <c r="F25" i="3"/>
  <c r="D28" i="3"/>
  <c r="E49" i="3"/>
  <c r="D49" i="3" s="1"/>
  <c r="D17" i="4"/>
  <c r="G18" i="4" s="1"/>
  <c r="C3" i="7"/>
  <c r="F26" i="7"/>
  <c r="I24" i="7"/>
  <c r="C4" i="4"/>
  <c r="F27" i="7"/>
  <c r="C55" i="2"/>
  <c r="G18" i="7"/>
  <c r="D44" i="3"/>
  <c r="D45" i="3"/>
  <c r="G15" i="4"/>
  <c r="J27" i="3"/>
  <c r="D25" i="3"/>
  <c r="C45" i="4" l="1"/>
  <c r="C6" i="4"/>
  <c r="D6" i="3"/>
  <c r="D7" i="3" s="1"/>
  <c r="G17" i="7"/>
  <c r="G16" i="7"/>
  <c r="C8" i="4"/>
  <c r="G19" i="7"/>
  <c r="J47" i="3"/>
  <c r="J28" i="3" s="1"/>
  <c r="D31" i="4" l="1"/>
  <c r="D32" i="4" s="1"/>
  <c r="G21" i="7"/>
  <c r="G20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D22" i="4" l="1"/>
  <c r="D23" i="4"/>
  <c r="D6" i="4"/>
  <c r="G16" i="4"/>
  <c r="F16" i="1" s="1"/>
  <c r="H16" i="1" s="1"/>
  <c r="D5" i="4"/>
  <c r="G27" i="7"/>
  <c r="F18" i="4"/>
  <c r="D8" i="4"/>
  <c r="D28" i="4" s="1"/>
  <c r="E6" i="3"/>
  <c r="E17" i="4" l="1"/>
  <c r="D33" i="4"/>
  <c r="D34" i="4" s="1"/>
  <c r="D9" i="4"/>
  <c r="H11" i="7"/>
  <c r="H3" i="7"/>
  <c r="E3" i="4" l="1"/>
  <c r="E27" i="4" s="1"/>
  <c r="G45" i="4"/>
  <c r="F45" i="4"/>
  <c r="E45" i="4"/>
  <c r="H13" i="7"/>
  <c r="H18" i="7" s="1"/>
  <c r="I17" i="7" l="1"/>
  <c r="I3" i="7" s="1"/>
  <c r="E2" i="7" s="1"/>
  <c r="H19" i="7"/>
  <c r="H17" i="7"/>
  <c r="H16" i="7"/>
  <c r="D10" i="4" l="1"/>
  <c r="G34" i="4"/>
  <c r="F10" i="4"/>
  <c r="F3" i="4"/>
  <c r="G4" i="4" s="1"/>
  <c r="B21" i="4" s="1"/>
  <c r="G2" i="4" s="1"/>
  <c r="G26" i="4" s="1"/>
  <c r="E31" i="4"/>
  <c r="I19" i="7"/>
  <c r="H21" i="7"/>
  <c r="F11" i="4" l="1"/>
  <c r="D35" i="4"/>
  <c r="D36" i="4" s="1"/>
  <c r="D37" i="4" s="1"/>
  <c r="D39" i="4" s="1"/>
  <c r="D11" i="4"/>
  <c r="F27" i="4"/>
  <c r="E4" i="4"/>
  <c r="E10" i="4" s="1"/>
  <c r="E11" i="4" s="1"/>
  <c r="E12" i="4" s="1"/>
  <c r="E7" i="4"/>
  <c r="F31" i="4"/>
  <c r="I21" i="7"/>
  <c r="I27" i="7" s="1"/>
  <c r="G11" i="4" l="1"/>
  <c r="D12" i="4"/>
  <c r="D38" i="4"/>
  <c r="E5" i="4"/>
  <c r="H27" i="7"/>
  <c r="E8" i="4"/>
  <c r="E28" i="4" s="1"/>
  <c r="E32" i="4" s="1"/>
  <c r="F35" i="4"/>
  <c r="F36" i="4" s="1"/>
  <c r="F8" i="4"/>
  <c r="F28" i="4" s="1"/>
  <c r="F32" i="4" s="1"/>
  <c r="F33" i="4" s="1"/>
  <c r="F34" i="4" s="1"/>
  <c r="G37" i="4"/>
  <c r="F37" i="4" l="1"/>
  <c r="E33" i="4"/>
  <c r="E34" i="4" s="1"/>
  <c r="F9" i="4"/>
  <c r="G9" i="4"/>
  <c r="E35" i="4"/>
  <c r="F12" i="4"/>
  <c r="E38" i="4"/>
  <c r="E9" i="4"/>
  <c r="F38" i="4" l="1"/>
  <c r="F39" i="4" s="1"/>
  <c r="E22" i="4" l="1"/>
  <c r="F22" i="4" s="1"/>
  <c r="E23" i="4"/>
  <c r="F23" i="4" s="1"/>
  <c r="G23" i="4" s="1"/>
  <c r="G22" i="4" l="1"/>
  <c r="E36" i="4"/>
  <c r="E37" i="4" l="1"/>
  <c r="E39" i="4" s="1"/>
  <c r="G38" i="4"/>
  <c r="G39" i="4" s="1"/>
  <c r="G24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<sst xmlns="http://schemas.openxmlformats.org/spreadsheetml/2006/main" count="480" uniqueCount="409">
  <si>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</si>
  <si>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</si>
  <si>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</si>
  <si>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</si>
  <si>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</si>
  <si>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</si>
  <si>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</si>
  <si>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</si>
  <si>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</si>
  <si>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</si>
  <si>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</si>
  <si>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</si>
  <si>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</si>
  <si>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</si>
  <si>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</si>
  <si>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</si>
  <si>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</si>
  <si>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</si>
  <si>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</si>
  <si>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</si>
  <si>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</si>
  <si>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</si>
  <si>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</si>
  <si>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</si>
  <si>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</si>
  <si>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</si>
  <si>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</si>
  <si>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</si>
  <si>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</si>
  <si>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</si>
  <si>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</si>
  <si>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</si>
  <si>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</si>
  <si>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</si>
  <si>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</si>
  <si>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</si>
  <si>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</si>
  <si>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</si>
  <si>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</si>
  <si>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</si>
  <si>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</si>
  <si>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</si>
  <si>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</si>
  <si>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</si>
  <si>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</si>
  <si>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</si>
  <si>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</si>
  <si>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</si>
  <si>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</si>
  <si>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</si>
  <si>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</si>
  <si>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</si>
  <si>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</si>
  <si>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</si>
  <si>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</si>
  <si>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</si>
  <si>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</si>
  <si>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</si>
  <si>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</si>
  <si>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</si>
  <si>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</si>
  <si>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</si>
  <si>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</si>
  <si>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</si>
  <si>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</si>
  <si>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</si>
  <si>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</si>
  <si>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</si>
  <si>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</si>
  <si>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</si>
  <si>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</si>
  <si>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</si>
  <si>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</si>
  <si>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</si>
  <si>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</si>
  <si>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</si>
  <si>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</si>
  <si>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</si>
  <si>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</si>
  <si>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</si>
  <si>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</si>
  <si>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</si>
  <si>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</si>
  <si>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</si>
  <si>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</si>
  <si>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</si>
  <si>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</si>
  <si>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</si>
  <si>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</si>
  <si>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</si>
  <si>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</si>
  <si>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</si>
  <si>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</si>
  <si>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</si>
  <si>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</si>
  <si>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</si>
  <si>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</si>
  <si>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</si>
  <si>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</si>
  <si>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</si>
  <si>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</si>
  <si>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</si>
  <si>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</si>
  <si>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</si>
  <si>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</si>
  <si>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</si>
  <si>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</si>
  <si>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</si>
  <si>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</si>
  <si>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</si>
  <si>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</si>
  <si>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</si>
  <si>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</si>
  <si>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</si>
  <si>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</si>
  <si>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</si>
  <si>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</si>
  <si>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</si>
  <si>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</si>
  <si>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</si>
  <si>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</si>
  <si>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</si>
  <si>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</si>
  <si>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</si>
  <si>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</si>
  <si>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</si>
  <si>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</si>
  <si>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</si>
  <si>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</si>
  <si>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</si>
  <si>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</si>
  <si>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</si>
  <si>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</si>
  <si>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</si>
  <si>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</si>
  <si>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</si>
  <si>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</si>
  <si>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</si>
  <si>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</si>
  <si>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</si>
  <si>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</si>
  <si>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</si>
  <si>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</si>
  <si>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</si>
  <si>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</si>
  <si>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</si>
  <si>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</si>
  <si>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</si>
  <si>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</si>
  <si>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</si>
  <si>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</si>
  <si>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</si>
  <si>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</si>
  <si>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</si>
  <si>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</si>
  <si>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</si>
  <si>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</si>
  <si>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</si>
  <si>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</si>
  <si>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</si>
  <si>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</si>
  <si>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</si>
  <si>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</si>
  <si>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</si>
  <si>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</si>
  <si>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</si>
  <si>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</si>
  <si>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</si>
  <si>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</si>
  <si>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</si>
  <si>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</si>
  <si>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</si>
  <si>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</si>
  <si>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</si>
  <si>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</si>
  <si>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</si>
  <si>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</si>
  <si>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</si>
  <si>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</si>
  <si>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</si>
  <si>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</si>
  <si>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</si>
  <si>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</si>
  <si>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</si>
  <si>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</si>
  <si>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</si>
  <si>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</si>
  <si>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</si>
  <si>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</si>
  <si>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</si>
  <si>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</si>
  <si>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</si>
  <si>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</si>
  <si>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</si>
  <si>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</si>
  <si>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</si>
  <si>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</si>
  <si>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</si>
  <si>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</si>
  <si>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</si>
  <si>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</si>
  <si>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</si>
  <si>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</si>
  <si>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</si>
  <si>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</si>
  <si>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</si>
  <si>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</si>
  <si>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</si>
  <si>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</si>
  <si>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</si>
  <si>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</si>
  <si>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</si>
  <si>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</si>
  <si>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</si>
  <si>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</si>
  <si>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</si>
  <si>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</si>
  <si>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</si>
  <si>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</si>
  <si>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</si>
  <si>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</si>
  <si>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</si>
  <si>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</si>
  <si>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</si>
  <si>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</si>
  <si>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</si>
  <si>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</si>
  <si>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</si>
  <si>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</si>
  <si>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</si>
  <si>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</si>
  <si>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</si>
  <si>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</si>
  <si>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</si>
  <si>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</si>
  <si>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</si>
  <si>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</si>
  <si>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</si>
  <si>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</si>
  <si>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</si>
  <si>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</si>
  <si>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</si>
  <si>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</si>
  <si>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</si>
  <si>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</si>
  <si>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</si>
  <si>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</si>
  <si>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</si>
  <si>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</si>
  <si>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</si>
  <si>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</si>
  <si>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</si>
  <si>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</si>
  <si>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</si>
  <si>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</si>
  <si>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</si>
  <si>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</si>
  <si>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</si>
  <si>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</si>
  <si>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</si>
  <si>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</si>
  <si>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</si>
  <si>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</si>
  <si>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</si>
  <si>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</si>
  <si>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</si>
  <si>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</si>
  <si>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</si>
  <si>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</si>
  <si>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</si>
  <si>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</si>
  <si>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</si>
  <si>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</si>
  <si>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</si>
  <si>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</si>
  <si>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</si>
  <si>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</si>
  <si>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</si>
  <si>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</si>
  <si>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</si>
  <si>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</si>
  <si>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</si>
  <si>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</si>
  <si>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</si>
  <si>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</si>
  <si>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</si>
  <si>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</si>
  <si>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</si>
  <si>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</si>
  <si>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</si>
  <si>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</si>
  <si>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</si>
  <si>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</si>
  <si>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</si>
  <si>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</si>
  <si>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</si>
  <si>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</si>
  <si>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</si>
  <si>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</si>
  <si>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</si>
  <si>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</si>
  <si>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</si>
  <si>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</si>
  <si>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</si>
  <si>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</si>
  <si>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</si>
  <si>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</si>
  <si>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</si>
  <si>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</si>
  <si>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</si>
  <si>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</si>
  <si>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</si>
  <si>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</si>
  <si>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</si>
  <si>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</si>
  <si>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</si>
  <si>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</si>
  <si>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</si>
  <si>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</si>
  <si>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</si>
  <si>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</si>
  <si>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</si>
  <si>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</si>
  <si>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</si>
  <si>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</si>
  <si>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</si>
  <si>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</si>
  <si>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</si>
  <si>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</si>
  <si>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Industrials, 15.4y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</si>
  <si>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</si>
  <si>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</si>
  <si>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</si>
  <si>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</si>
  <si>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</si>
  <si>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</si>
  <si>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</si>
  <si>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</si>
  <si>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</si>
  <si>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Despite a cylical one</t>
  </si>
  <si>
    <t>High Overhead</t>
  </si>
  <si>
    <t>High R&amp;D Requirement</t>
  </si>
  <si>
    <t>WCInv</t>
  </si>
  <si>
    <t>R&amp;D</t>
  </si>
  <si>
    <t>FCInv</t>
  </si>
  <si>
    <t>FCInv / Sales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</si>
  <si>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</si>
  <si>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</si>
  <si>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</si>
  <si>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</si>
  <si>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</si>
  <si>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</si>
  <si>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</si>
  <si>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</si>
  <si>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</si>
  <si>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</si>
  <si>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</si>
  <si>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</si>
  <si>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</si>
  <si>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</si>
  <si>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</si>
  <si>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</si>
  <si>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</si>
  <si>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</si>
  <si>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</si>
  <si>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</si>
  <si>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</si>
  <si>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</si>
  <si>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</si>
  <si>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</si>
  <si>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</si>
  <si>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</si>
  <si>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</si>
  <si>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</si>
  <si>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</si>
  <si>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</si>
  <si>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</si>
  <si>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</si>
  <si>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</si>
  <si>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0710.HK</t>
  </si>
  <si>
    <t>BOE VARITRONIX</t>
  </si>
  <si>
    <t>ROE = EBIT / Total Equity</t>
  </si>
  <si>
    <t>Total Assets / Total Equity</t>
  </si>
  <si>
    <t>P/S</t>
  </si>
  <si>
    <t>Quarter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</si>
  <si>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</si>
  <si>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</si>
  <si>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</si>
  <si>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</si>
  <si>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</si>
  <si>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</si>
  <si>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</si>
  <si>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</si>
  <si>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</si>
  <si>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</si>
  <si>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</si>
  <si>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</si>
  <si>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</si>
  <si>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</si>
  <si>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</si>
  <si>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</si>
  <si>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</si>
  <si>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下游车厂价格战导致成本压力向上游传导，公司盈利能力明显下降</t>
  </si>
  <si>
    <t>2. Sentiment Trap</t>
  </si>
  <si>
    <t>3 year range: 0.67 - 1.33</t>
  </si>
  <si>
    <t>b). Rely on bottom-up research to uncover bargains in a pessimistic market.</t>
  </si>
  <si>
    <t>a). It's our job as a value investor to catch the falling knife</t>
  </si>
  <si>
    <t>+ D&amp;A</t>
  </si>
  <si>
    <t>FCInv = Δ PP&amp;E + D&amp;A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</si>
</sst>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2" fillId="25" borderId="9" xfId="0" applyNumberFormat="1" applyFont="1" applyFill="1" applyBorder="1" applyAlignment="1">
      <alignment horizontal="center"/>
    </xf>
    <xf numFmtId="3" fontId="1" fillId="25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8" fontId="4" fillId="9" borderId="9" xfId="0" applyNumberFormat="1" applyFont="1" applyFill="1" applyBorder="1" applyAlignment="1">
      <alignment horizontal="center"/>
    </xf>
    <xf numFmtId="171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8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69" fontId="1" fillId="0" borderId="9" xfId="0" applyNumberFormat="1" applyFont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69000</c:v>
                </c:pt>
                <c:pt idx="1" formatCode="#,##0">
                  <c:v>56000</c:v>
                </c:pt>
                <c:pt idx="2" formatCode="#,##0">
                  <c:v>247000</c:v>
                </c:pt>
                <c:pt idx="3" formatCode="#,##0">
                  <c:v>1176000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7352</c:v>
                </c:pt>
                <c:pt idx="1" formatCode="#,##0">
                  <c:v>37000</c:v>
                </c:pt>
                <c:pt idx="2" formatCode="#,##0">
                  <c:v>36302</c:v>
                </c:pt>
                <c:pt idx="3" formatCode="#,##0">
                  <c:v>182000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25020</c:v>
                </c:pt>
                <c:pt idx="1" formatCode="#,##0">
                  <c:v>68639</c:v>
                </c:pt>
                <c:pt idx="2" formatCode="#,##0">
                  <c:v>327798</c:v>
                </c:pt>
                <c:pt idx="3" formatCode="#,##0">
                  <c:v>582451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17" zoomScaleNormal="100" workbookViewId="0">
      <selection activeCell="C38" sqref="C38:D38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0710.HK : BOE VARITRONIX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51" t="s">
        <v>379</v>
      </c>
      <c r="D3" s="352"/>
      <c r="E3" s="6"/>
      <c r="G3" s="7" t="s">
        <v>2</v>
      </c>
      <c r="I3" s="360" t="s">
        <v>3</v>
      </c>
      <c r="J3" s="360"/>
    </row>
    <row r="4" spans="1:12" ht="15.75" customHeight="1">
      <c r="B4" s="5" t="s">
        <v>4</v>
      </c>
      <c r="C4" s="353" t="s">
        <v>380</v>
      </c>
      <c r="D4" s="322"/>
      <c r="E4" s="6"/>
      <c r="G4" s="5" t="s">
        <v>5</v>
      </c>
      <c r="I4" s="221">
        <v>7.47</v>
      </c>
      <c r="J4" s="222" t="s">
        <v>6</v>
      </c>
      <c r="K4" s="92"/>
    </row>
    <row r="5" spans="1:12" ht="15.75" customHeight="1">
      <c r="B5" s="5" t="s">
        <v>7</v>
      </c>
      <c r="C5" s="354">
        <v>45154</v>
      </c>
      <c r="D5" s="322"/>
      <c r="E5" s="79" t="str">
        <f ca="1">IF(C5+30&gt;=TODAY(),"Patience Premium","")</f>
        <v>Patience Premium</v>
      </c>
      <c r="G5" s="5" t="s">
        <v>8</v>
      </c>
      <c r="I5" s="321">
        <v>791574976</v>
      </c>
      <c r="J5" s="321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44985</v>
      </c>
      <c r="E6" s="128">
        <f>IF(Asset_Model!E9="FY",Asset_Model!D9,Data!C3)</f>
        <v>44926</v>
      </c>
      <c r="G6" s="85" t="s">
        <v>9</v>
      </c>
      <c r="H6" s="84"/>
      <c r="I6" s="361">
        <f>I4*I5/1000000</f>
        <v>5913.0650707200002</v>
      </c>
      <c r="J6" s="361"/>
      <c r="K6" s="91"/>
    </row>
    <row r="7" spans="1:12" ht="15.75" customHeight="1">
      <c r="B7" s="86" t="s">
        <v>10</v>
      </c>
      <c r="C7" s="218">
        <f>(Data!C42*Exchange_Rate)/I4</f>
        <v>3.0779299368988496E-2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10.152038661999036</v>
      </c>
      <c r="J9" s="166">
        <f>IF(I9="NNI","NNI",1/I9)</f>
        <v>9.8502382949267664E-2</v>
      </c>
    </row>
    <row r="10" spans="1:12" ht="15.75" customHeight="1">
      <c r="B10" s="3" t="s">
        <v>226</v>
      </c>
      <c r="C10" s="122" t="s">
        <v>324</v>
      </c>
      <c r="D10" s="122">
        <v>2.8999999999999998E-2</v>
      </c>
      <c r="E10" s="5"/>
      <c r="G10" s="85" t="s">
        <v>332</v>
      </c>
      <c r="H10" s="84"/>
      <c r="I10" s="165">
        <f>I4/(Data!C29*I12*Data!C4/Common_Shares)</f>
        <v>1.4366839645237965</v>
      </c>
      <c r="J10" s="223">
        <f>I4/(Data!C7*Data!C4/Common_Shares*Exchange_Rate)</f>
        <v>0.55147043367780657</v>
      </c>
    </row>
    <row r="11" spans="1:12" ht="15.75" customHeight="1" thickBot="1">
      <c r="B11" s="124" t="s">
        <v>227</v>
      </c>
      <c r="C11" s="331">
        <f ca="1">C12-D10</f>
        <v>6.7000000000000004E-2</v>
      </c>
      <c r="D11" s="332"/>
      <c r="E11" s="13"/>
      <c r="G11" s="5" t="s">
        <v>14</v>
      </c>
      <c r="H11" s="6"/>
      <c r="I11" s="360" t="s">
        <v>6</v>
      </c>
      <c r="J11" s="360"/>
    </row>
    <row r="12" spans="1:12" ht="15.75" customHeight="1" thickTop="1">
      <c r="B12" s="125" t="s">
        <v>124</v>
      </c>
      <c r="C12" s="367">
        <f ca="1">IF(C10="CN",8%,6%)*IF($C$5+30&gt;=TODAY(),1.2,1)</f>
        <v>9.6000000000000002E-2</v>
      </c>
      <c r="D12" s="368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8.3764093150504753</v>
      </c>
      <c r="F14" s="98"/>
      <c r="G14" s="99"/>
      <c r="H14" s="134" t="s">
        <v>323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322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310</v>
      </c>
      <c r="J15" s="55" t="s">
        <v>18</v>
      </c>
    </row>
    <row r="16" spans="1:12" ht="15.75" customHeight="1">
      <c r="B16" s="82">
        <f>I4</f>
        <v>7.47</v>
      </c>
      <c r="C16" s="347">
        <v>0.2</v>
      </c>
      <c r="D16" s="238">
        <f ca="1">I37/B16-(1+C16)</f>
        <v>0.24731849316185239</v>
      </c>
      <c r="E16" s="341" t="s">
        <v>21</v>
      </c>
      <c r="F16" s="362">
        <f>(Val_Models!G16)*Exchange_Rate</f>
        <v>1.9058544257105325</v>
      </c>
      <c r="G16" s="341" t="s">
        <v>22</v>
      </c>
      <c r="H16" s="239">
        <f>B16-$F$16</f>
        <v>5.5641455742894674</v>
      </c>
      <c r="I16" s="336">
        <v>2.3E-2</v>
      </c>
      <c r="J16" s="166">
        <f>I16/B16</f>
        <v>3.0789825970548861E-3</v>
      </c>
    </row>
    <row r="17" spans="1:10" ht="15.75" customHeight="1">
      <c r="B17" s="116">
        <f ca="1">MIN((I37+I38)/2,I37/(1+C16), IF(J20=0,E14,I37/(1+C16)))</f>
        <v>8.7562982979797077</v>
      </c>
      <c r="C17" s="348"/>
      <c r="D17" s="149">
        <f ca="1">I37/B17-(1+C16)</f>
        <v>3.4707724200477408E-2</v>
      </c>
      <c r="E17" s="342"/>
      <c r="F17" s="363"/>
      <c r="G17" s="342"/>
      <c r="H17" s="236">
        <f ca="1">B17-$F$16</f>
        <v>6.8504438722691754</v>
      </c>
      <c r="I17" s="337"/>
      <c r="J17" s="149">
        <f ca="1">I16/B17</f>
        <v>2.6266807293792928E-3</v>
      </c>
    </row>
    <row r="18" spans="1:10" ht="15.75" customHeight="1">
      <c r="B18" s="129">
        <f>C37</f>
        <v>7.42</v>
      </c>
      <c r="C18" s="349"/>
      <c r="D18" s="237">
        <f ca="1">I37/B18-(1+C16)</f>
        <v>0.25707131319663579</v>
      </c>
      <c r="E18" s="343"/>
      <c r="F18" s="364"/>
      <c r="G18" s="343"/>
      <c r="H18" s="98">
        <f>B18-$F$16</f>
        <v>5.5141455742894676</v>
      </c>
      <c r="I18" s="338"/>
      <c r="J18" s="158">
        <f>I16/B18</f>
        <v>3.0997304582210243E-3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338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57"/>
      <c r="D21" s="358"/>
      <c r="E21" s="359"/>
      <c r="F21" s="359"/>
      <c r="G21" s="359"/>
      <c r="H21" s="359"/>
      <c r="I21" s="359"/>
      <c r="J21" s="359"/>
    </row>
    <row r="22" spans="1:10" ht="52.5" customHeight="1">
      <c r="A22" s="6"/>
      <c r="B22" s="19" t="s">
        <v>25</v>
      </c>
      <c r="C22" s="366"/>
      <c r="D22" s="352"/>
      <c r="E22" s="352"/>
      <c r="F22" s="352"/>
      <c r="G22" s="366"/>
      <c r="H22" s="366"/>
      <c r="I22" s="352"/>
      <c r="J22" s="352"/>
    </row>
    <row r="23" spans="1:10" ht="52.5" customHeight="1">
      <c r="A23" s="6"/>
      <c r="B23" s="138" t="s">
        <v>26</v>
      </c>
      <c r="C23" s="339"/>
      <c r="D23" s="340"/>
      <c r="E23" s="340"/>
      <c r="F23" s="340"/>
      <c r="G23" s="339"/>
      <c r="H23" s="339"/>
      <c r="I23" s="340"/>
      <c r="J23" s="340"/>
    </row>
    <row r="24" spans="1:10" ht="52.5" customHeight="1">
      <c r="A24" s="6"/>
      <c r="B24" s="19" t="s">
        <v>292</v>
      </c>
      <c r="C24" s="369"/>
      <c r="D24" s="369"/>
      <c r="E24" s="369"/>
      <c r="F24" s="369"/>
      <c r="G24" s="369"/>
      <c r="H24" s="369"/>
      <c r="I24" s="369"/>
      <c r="J24" s="369"/>
    </row>
    <row r="25" spans="1:10" ht="52.5" customHeight="1">
      <c r="A25" s="6"/>
      <c r="B25" s="138" t="s">
        <v>291</v>
      </c>
      <c r="C25" s="370"/>
      <c r="D25" s="370"/>
      <c r="E25" s="370"/>
      <c r="F25" s="370"/>
      <c r="G25" s="370"/>
      <c r="H25" s="370"/>
      <c r="I25" s="370"/>
      <c r="J25" s="37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55"/>
      <c r="D28" s="356"/>
      <c r="E28" s="346" t="str">
        <f>IF(C28="","","Action_Planning")</f>
        <v/>
      </c>
      <c r="F28" s="346"/>
      <c r="G28" s="346"/>
      <c r="H28" s="346"/>
      <c r="I28" s="365" t="s">
        <v>30</v>
      </c>
      <c r="J28" s="365"/>
    </row>
    <row r="29" spans="1:10" ht="15.75" customHeight="1">
      <c r="B29" s="18" t="s">
        <v>31</v>
      </c>
      <c r="C29" s="335">
        <f>C33/D27</f>
        <v>0.17987878787878789</v>
      </c>
      <c r="D29" s="329"/>
      <c r="E29" s="334">
        <f>E33/D27</f>
        <v>0</v>
      </c>
      <c r="F29" s="329"/>
      <c r="G29" s="345">
        <f>G33/D27</f>
        <v>0</v>
      </c>
      <c r="H29" s="345"/>
      <c r="I29" s="344">
        <f>C29+E29+G29</f>
        <v>0.17987878787878789</v>
      </c>
      <c r="J29" s="344"/>
    </row>
    <row r="30" spans="1:10" ht="15.75" customHeight="1">
      <c r="B30" s="18" t="s">
        <v>32</v>
      </c>
      <c r="C30" s="321">
        <v>16000</v>
      </c>
      <c r="D30" s="322"/>
      <c r="E30" s="321"/>
      <c r="F30" s="322"/>
      <c r="G30" s="321"/>
      <c r="H30" s="321"/>
      <c r="I30" s="350">
        <f>C30+E30+G30</f>
        <v>16000</v>
      </c>
      <c r="J30" s="350"/>
    </row>
    <row r="31" spans="1:10" ht="15.75" customHeight="1">
      <c r="B31" s="18" t="s">
        <v>33</v>
      </c>
      <c r="C31" s="323">
        <v>7.42</v>
      </c>
      <c r="D31" s="322"/>
      <c r="E31" s="323"/>
      <c r="F31" s="322"/>
      <c r="G31" s="323"/>
      <c r="H31" s="323"/>
      <c r="I31" s="333"/>
      <c r="J31" s="333"/>
    </row>
    <row r="32" spans="1:10" ht="15.75" customHeight="1">
      <c r="B32" s="18" t="s">
        <v>34</v>
      </c>
      <c r="C32" s="330">
        <f>C31*$I$5/1000000</f>
        <v>5873.4863219199997</v>
      </c>
      <c r="D32" s="329"/>
      <c r="E32" s="330">
        <f>E31*$I$5/1000000</f>
        <v>0</v>
      </c>
      <c r="F32" s="329"/>
      <c r="G32" s="330">
        <f>G31*$I$5/1000000</f>
        <v>0</v>
      </c>
      <c r="H32" s="330"/>
      <c r="I32" s="333"/>
      <c r="J32" s="333"/>
    </row>
    <row r="33" spans="2:11" ht="15.75" customHeight="1">
      <c r="B33" s="2" t="s">
        <v>35</v>
      </c>
      <c r="C33" s="326">
        <f>C30*C31</f>
        <v>118720</v>
      </c>
      <c r="D33" s="327"/>
      <c r="E33" s="326">
        <f>E30*E31</f>
        <v>0</v>
      </c>
      <c r="F33" s="327"/>
      <c r="G33" s="326">
        <f>G30*G31</f>
        <v>0</v>
      </c>
      <c r="H33" s="326"/>
      <c r="I33" s="326">
        <f>C33+E33+G33</f>
        <v>118720</v>
      </c>
      <c r="J33" s="326"/>
    </row>
    <row r="34" spans="2:11" ht="15.75" customHeight="1">
      <c r="B34" s="1" t="s">
        <v>36</v>
      </c>
      <c r="C34" s="333"/>
      <c r="D34" s="376"/>
      <c r="E34" s="328">
        <f>IF(C33=0,"-",(C33+E33)/(C30+E30))</f>
        <v>7.42</v>
      </c>
      <c r="F34" s="329"/>
      <c r="G34" s="78"/>
      <c r="H34" s="78"/>
      <c r="I34" s="328">
        <f>IF(I33=0,"",I33/I30)</f>
        <v>7.42</v>
      </c>
      <c r="J34" s="328"/>
    </row>
    <row r="35" spans="2:11" ht="15.75" customHeight="1">
      <c r="B35" s="1" t="s">
        <v>37</v>
      </c>
      <c r="C35" s="377"/>
      <c r="D35" s="378"/>
      <c r="E35" s="324">
        <f>IF(E34="-","-",E34*$I$5/1000000)</f>
        <v>5873.4863219199997</v>
      </c>
      <c r="F35" s="325"/>
      <c r="G35" s="230"/>
      <c r="H35" s="230"/>
      <c r="I35" s="324">
        <f>IF(I34="","",I34*$I$5/1000000)</f>
        <v>5873.4863219199997</v>
      </c>
      <c r="J35" s="324"/>
    </row>
    <row r="36" spans="2:11" ht="15.75" customHeight="1"/>
    <row r="37" spans="2:11" ht="15.75" customHeight="1">
      <c r="B37" s="87" t="s">
        <v>256</v>
      </c>
      <c r="C37" s="374">
        <f>C31</f>
        <v>7.42</v>
      </c>
      <c r="D37" s="375"/>
      <c r="E37" s="79" t="str">
        <f ca="1">IF(C37&gt;B17,"Caution! &gt; Breakeven price!","")</f>
        <v/>
      </c>
      <c r="F37" s="6"/>
      <c r="G37" s="371" t="s">
        <v>316</v>
      </c>
      <c r="H37" s="371"/>
      <c r="I37" s="372">
        <f ca="1">Val_Models!C46</f>
        <v>10.811469143919037</v>
      </c>
      <c r="J37" s="373"/>
    </row>
    <row r="38" spans="2:11" ht="15.75" customHeight="1">
      <c r="B38" s="87" t="s">
        <v>281</v>
      </c>
      <c r="C38" s="374">
        <f>E34</f>
        <v>7.42</v>
      </c>
      <c r="D38" s="375"/>
      <c r="E38" s="6"/>
      <c r="F38" s="6"/>
      <c r="G38" s="371" t="s">
        <v>280</v>
      </c>
      <c r="H38" s="371"/>
      <c r="I38" s="372">
        <f ca="1">Val_Models!C47</f>
        <v>6.7011274520403799</v>
      </c>
      <c r="J38" s="373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0.53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0.47107142857142859</v>
      </c>
      <c r="G43" s="77"/>
      <c r="H43" s="77"/>
      <c r="I43" s="77"/>
      <c r="J43" s="77"/>
    </row>
    <row r="44" spans="2:11" ht="15.75" customHeight="1">
      <c r="B44" s="3" t="s">
        <v>337</v>
      </c>
      <c r="C44" s="6"/>
      <c r="D44" s="6"/>
      <c r="E44" s="6"/>
      <c r="F44" s="171">
        <f>AVERAGE(Asset_Model!J28/4,1-Asset_Model!I56)</f>
        <v>0.90024604149680243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0.45707131319663574</v>
      </c>
      <c r="F47" s="171">
        <f ca="1">I37/C38-1</f>
        <v>0.45707131319663574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-9.6883092716929964E-2</v>
      </c>
      <c r="F48" s="171">
        <f ca="1">Val_Models!C47/C38-1</f>
        <v>-9.6883092716929964E-2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0.59628231606161675</v>
      </c>
      <c r="F50" s="171">
        <f ca="1">IF(F47&lt;=0,0,AVERAGE(F41:F44,0.5*(1+F47+F48-C16)))</f>
        <v>0.59628231606161675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4.717761380018004</v>
      </c>
      <c r="F51" s="234">
        <f ca="1">IF(F48&gt;=0,100,F47/ABS(F48))</f>
        <v>4.717761380018004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2.8177794207387574</v>
      </c>
      <c r="F52" s="232">
        <f ca="1">MAX(C16*2.5/F47,1)+IF(F47&lt;C16,100,0)+IF(D18&lt;0,100,0)+IF(J20=1,2/(1+F47+F48-C16),0)</f>
        <v>2.8177794207387574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0.18124496130592219</v>
      </c>
      <c r="F53" s="217">
        <f ca="1">MIN(MAX(F50-ABS((1-F50)/F51),0)/F52,H53)</f>
        <v>0.18124496130592219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403</v>
      </c>
    </row>
    <row r="65" spans="2:2" ht="15.75" customHeight="1">
      <c r="B65" s="3" t="s">
        <v>406</v>
      </c>
    </row>
    <row r="66" spans="2:2" ht="15.75" customHeight="1">
      <c r="B66" s="3" t="s">
        <v>405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topLeftCell="A19" zoomScaleNormal="100" workbookViewId="0">
      <selection activeCell="D31" sqref="D31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582451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106072.5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10722361</v>
      </c>
      <c r="D7" s="160">
        <v>7737943</v>
      </c>
      <c r="E7" s="160">
        <v>4526914</v>
      </c>
      <c r="F7" s="160">
        <v>3573978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0.38568622177754475</v>
      </c>
      <c r="D8" s="149">
        <f t="shared" si="1"/>
        <v>0.70931963805806775</v>
      </c>
      <c r="E8" s="149">
        <f t="shared" si="1"/>
        <v>0.266631747593298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9290616+680018+165770</f>
        <v>10136404</v>
      </c>
      <c r="D9" s="148">
        <f>6587154+593824+159734</f>
        <v>7340712</v>
      </c>
      <c r="E9" s="148">
        <f>3634717+423329+146554</f>
        <v>4204600</v>
      </c>
      <c r="F9" s="148">
        <f>2652315+425936+136707</f>
        <v>3214958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5.4648132067181845E-2</v>
      </c>
      <c r="D10" s="149">
        <f t="shared" si="2"/>
        <v>5.1335477658597382E-2</v>
      </c>
      <c r="E10" s="149">
        <f t="shared" si="2"/>
        <v>7.1199497052517449E-2</v>
      </c>
      <c r="F10" s="149">
        <f t="shared" si="2"/>
        <v>0.10045389199373919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444527</v>
      </c>
      <c r="D11" s="148">
        <v>359473</v>
      </c>
      <c r="E11" s="148">
        <v>228660</v>
      </c>
      <c r="F11" s="148">
        <v>271638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4.1457940093604387E-2</v>
      </c>
      <c r="D12" s="149">
        <f t="shared" si="3"/>
        <v>4.6455886273651797E-2</v>
      </c>
      <c r="E12" s="149">
        <f t="shared" si="3"/>
        <v>5.051123127145777E-2</v>
      </c>
      <c r="F12" s="149">
        <f t="shared" si="3"/>
        <v>7.6004385029790344E-2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1.319019197357746E-2</v>
      </c>
      <c r="D13" s="149">
        <f t="shared" si="4"/>
        <v>4.8795913849455858E-3</v>
      </c>
      <c r="E13" s="149">
        <f t="shared" si="4"/>
        <v>2.068826578105968E-2</v>
      </c>
      <c r="F13" s="149">
        <f t="shared" si="4"/>
        <v>2.4449506963948854E-2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141430</v>
      </c>
      <c r="D14" s="51">
        <f t="shared" si="5"/>
        <v>37758</v>
      </c>
      <c r="E14" s="51">
        <f t="shared" si="5"/>
        <v>93654</v>
      </c>
      <c r="F14" s="51">
        <f t="shared" si="5"/>
        <v>87382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2.7456962762858201</v>
      </c>
      <c r="D15" s="149">
        <f t="shared" ref="D15:M15" si="6">IF(E14="","",IF(ABS(D14+E14)=ABS(D14)+ABS(E14),IF(D14&lt;0,-1,1)*(D14-E14)/E14,"Turn"))</f>
        <v>-0.59683515920302388</v>
      </c>
      <c r="E15" s="149">
        <f t="shared" si="6"/>
        <v>7.177679613650409E-2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IF(C14="","",C14*(1-Projections!$F$19))</f>
        <v>106072.5</v>
      </c>
      <c r="D16" s="51">
        <f>IF(D14="","",D14*(1-Projections!$F$19))</f>
        <v>28318.5</v>
      </c>
      <c r="E16" s="51">
        <f>IF(E14="","",E14*(1-Projections!$F$19))</f>
        <v>70240.5</v>
      </c>
      <c r="F16" s="51">
        <f>IF(F14="","",F14*(1-Projections!$F$19))</f>
        <v>65536.5</v>
      </c>
      <c r="G16" s="51" t="str">
        <f>IF(G14="","",G14*(1-Projections!$F$19))</f>
        <v/>
      </c>
      <c r="H16" s="51" t="str">
        <f>IF(H14="","",H14*(1-Projections!$F$19))</f>
        <v/>
      </c>
      <c r="I16" s="51" t="str">
        <f>IF(I14="","",I14*(1-Projections!$F$19))</f>
        <v/>
      </c>
      <c r="J16" s="51" t="str">
        <f>IF(J14="","",J14*(1-Projections!$F$19))</f>
        <v/>
      </c>
      <c r="K16" s="51" t="str">
        <f>IF(K14="","",K14*(1-Projections!$F$19))</f>
        <v/>
      </c>
      <c r="L16" s="51" t="str">
        <f>IF(L14="","",L14*(1-Projections!$F$19))</f>
        <v/>
      </c>
      <c r="M16" s="51" t="str">
        <f>IF(M14="","",M14*(1-Projections!$F$19))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9.8926439801830957E-3</v>
      </c>
      <c r="D17" s="149">
        <f t="shared" si="7"/>
        <v>3.6596935387091891E-3</v>
      </c>
      <c r="E17" s="149">
        <f t="shared" si="7"/>
        <v>1.551619933579476E-2</v>
      </c>
      <c r="F17" s="149">
        <f t="shared" si="7"/>
        <v>1.8337130222961642E-2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12361</v>
      </c>
      <c r="D18" s="148">
        <v>915</v>
      </c>
      <c r="E18" s="148">
        <v>578</v>
      </c>
      <c r="F18" s="148">
        <v>538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582451</v>
      </c>
      <c r="D19" s="148">
        <v>327798</v>
      </c>
      <c r="E19" s="148">
        <v>68639</v>
      </c>
      <c r="F19" s="148">
        <v>25020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0.77685952934429126</v>
      </c>
      <c r="D20" s="149">
        <f t="shared" ref="D20:M20" si="8">IF(E19="","",IF(ABS(D19+E19)=ABS(D19)+ABS(E19),IF(D19&lt;0,-1,1)*(D19-E19)/E19,"Turn"))</f>
        <v>3.7756814638907907</v>
      </c>
      <c r="E20" s="149">
        <f t="shared" si="8"/>
        <v>1.7433653077537969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378</v>
      </c>
      <c r="C21" s="150">
        <v>8283100</v>
      </c>
      <c r="D21" s="148">
        <v>5543164</v>
      </c>
      <c r="E21" s="148">
        <v>3829838</v>
      </c>
      <c r="F21" s="148">
        <v>3533169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6610566</v>
      </c>
      <c r="D22" s="148">
        <v>4853186</v>
      </c>
      <c r="E22" s="148">
        <v>3307006</v>
      </c>
      <c r="F22" s="148">
        <v>2973622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4103125</v>
      </c>
      <c r="D23" s="148">
        <v>2168053</v>
      </c>
      <c r="E23" s="148">
        <v>1037232</v>
      </c>
      <c r="F23" s="148">
        <v>761502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643680</v>
      </c>
      <c r="D24" s="148">
        <v>11513</v>
      </c>
      <c r="E24" s="148">
        <v>9495</v>
      </c>
      <c r="F24" s="148">
        <v>6740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7392</v>
      </c>
      <c r="D25" s="152">
        <v>11513</v>
      </c>
      <c r="E25" s="152">
        <v>9495</v>
      </c>
      <c r="F25" s="152">
        <v>6740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35314</v>
      </c>
      <c r="D26" s="148">
        <v>11042</v>
      </c>
      <c r="E26" s="148">
        <v>9934</v>
      </c>
      <c r="F26" s="148">
        <v>3143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4402</v>
      </c>
      <c r="D27" s="152">
        <v>11042</v>
      </c>
      <c r="E27" s="152">
        <v>9934</v>
      </c>
      <c r="F27" s="152">
        <v>3143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678994</v>
      </c>
      <c r="D28" s="51">
        <f t="shared" si="9"/>
        <v>22555</v>
      </c>
      <c r="E28" s="51">
        <f t="shared" si="9"/>
        <v>19429</v>
      </c>
      <c r="F28" s="51">
        <f t="shared" si="9"/>
        <v>9883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4115773</v>
      </c>
      <c r="D29" s="148">
        <v>3345625</v>
      </c>
      <c r="E29" s="148">
        <v>2767154</v>
      </c>
      <c r="F29" s="148">
        <v>2751435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4064698</v>
      </c>
      <c r="D30" s="152">
        <v>3032424</v>
      </c>
      <c r="E30" s="152">
        <v>2709936</v>
      </c>
      <c r="F30" s="152">
        <v>2751435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353</v>
      </c>
      <c r="C31" s="150">
        <v>1490300</v>
      </c>
      <c r="D31" s="148">
        <v>583434</v>
      </c>
      <c r="E31" s="148">
        <v>467046</v>
      </c>
      <c r="F31" s="148">
        <v>504215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2818823</v>
      </c>
      <c r="D32" s="148">
        <v>2267118</v>
      </c>
      <c r="E32" s="148">
        <v>1627531</v>
      </c>
      <c r="F32" s="148">
        <v>1538328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408</v>
      </c>
      <c r="C33" s="161">
        <v>1176000</v>
      </c>
      <c r="D33" s="161">
        <v>247000</v>
      </c>
      <c r="E33" s="161">
        <v>56000</v>
      </c>
      <c r="F33" s="161">
        <v>69000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372</v>
      </c>
      <c r="C34" s="161">
        <v>230000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1023356.9321999999</v>
      </c>
      <c r="D35" s="154">
        <f>IF(E7="","",IF(D8&lt;0,0,(D7-E7)*Asset_Model!$D$68))</f>
        <v>1101061.8440999999</v>
      </c>
      <c r="E35" s="154">
        <f>IF(F7="","",IF(E8&lt;0,0,(E7-F7)*Asset_Model!$D$68))</f>
        <v>326761.75439999998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2199356.9321999997</v>
      </c>
      <c r="D36" s="51">
        <f t="shared" si="11"/>
        <v>1348061.8440999999</v>
      </c>
      <c r="E36" s="51">
        <f t="shared" si="11"/>
        <v>382761.75439999998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345</v>
      </c>
      <c r="C37" s="149">
        <f>IF(C36="","",C33/C7)</f>
        <v>0.10967733692234388</v>
      </c>
      <c r="D37" s="149">
        <f t="shared" ref="D37:M37" si="12">IF(D36="","",D33/D7)</f>
        <v>3.1920628001524433E-2</v>
      </c>
      <c r="E37" s="149">
        <f t="shared" si="12"/>
        <v>1.237045810898992E-2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347</v>
      </c>
      <c r="C38" s="158">
        <f t="shared" ref="C38:M38" si="13">IF(C36="","",C33/C16)</f>
        <v>11.086756699427278</v>
      </c>
      <c r="D38" s="158">
        <f t="shared" si="13"/>
        <v>8.722213394071014</v>
      </c>
      <c r="E38" s="158">
        <f t="shared" si="13"/>
        <v>0.79726083954413762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182000</v>
      </c>
      <c r="D40" s="163">
        <v>36302</v>
      </c>
      <c r="E40" s="163">
        <v>37000</v>
      </c>
      <c r="F40" s="163">
        <v>7352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0.22992136628634405</v>
      </c>
      <c r="D42" s="162">
        <f t="shared" si="14"/>
        <v>4.5860469444653086E-2</v>
      </c>
      <c r="E42" s="162">
        <f t="shared" si="14"/>
        <v>4.6742255783487528E-2</v>
      </c>
      <c r="F42" s="162">
        <f t="shared" si="14"/>
        <v>9.2878125546000077E-3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362</v>
      </c>
      <c r="C45" s="166">
        <f>IF(C30="","",(C21-C30)/C21)</f>
        <v>0.50927816880153565</v>
      </c>
      <c r="D45" s="166">
        <f>IF(D30="","",(D21-D30)/D21)</f>
        <v>0.45294348137634027</v>
      </c>
      <c r="E45" s="166">
        <f t="shared" ref="E45:M45" si="16">IF(E30="","",(E21-E30)/E21)</f>
        <v>0.2924149794325504</v>
      </c>
      <c r="F45" s="166">
        <f t="shared" si="16"/>
        <v>0.22125576217837301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374</v>
      </c>
      <c r="C46" s="149">
        <f t="shared" ref="C46:M46" si="17">IF(C30="","",C28/C30)</f>
        <v>0.16704660469240273</v>
      </c>
      <c r="D46" s="149">
        <f t="shared" si="17"/>
        <v>7.4379440342115747E-3</v>
      </c>
      <c r="E46" s="149">
        <f t="shared" si="17"/>
        <v>7.1695420113242524E-3</v>
      </c>
      <c r="F46" s="149">
        <f t="shared" si="17"/>
        <v>3.5919438402142881E-3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0.20829344589201082</v>
      </c>
      <c r="D47" s="165">
        <f t="shared" si="18"/>
        <v>1.6740412325426735</v>
      </c>
      <c r="E47" s="165">
        <f t="shared" si="18"/>
        <v>4.8203201399969116</v>
      </c>
      <c r="F47" s="165">
        <f t="shared" si="18"/>
        <v>8.841647273095214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8.7400127271441697E-2</v>
      </c>
      <c r="D48" s="149">
        <f>IF(D14="","",IF(D18&lt;=0,"-",D18/D14))</f>
        <v>2.4233275067535358E-2</v>
      </c>
      <c r="E48" s="149">
        <f t="shared" ref="E48:M48" si="19">IF(E14="","",IF(E18&lt;=0,"-",E18/E14))</f>
        <v>6.1716531061139944E-3</v>
      </c>
      <c r="F48" s="149">
        <f t="shared" si="19"/>
        <v>6.1568744134947702E-3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1.6111051942117289</v>
      </c>
      <c r="D49" s="167">
        <f t="shared" si="20"/>
        <v>2.238499704573643</v>
      </c>
      <c r="E49" s="167">
        <f t="shared" si="20"/>
        <v>3.188299242599534</v>
      </c>
      <c r="F49" s="167">
        <f t="shared" si="20"/>
        <v>3.9049431255597491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1.319019197357746E-2</v>
      </c>
      <c r="D51" s="166">
        <f t="shared" si="21"/>
        <v>4.8795913849455858E-3</v>
      </c>
      <c r="E51" s="166">
        <f t="shared" si="21"/>
        <v>2.068826578105968E-2</v>
      </c>
      <c r="F51" s="166">
        <f t="shared" si="21"/>
        <v>2.4449506963948854E-2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1.2944864845287392</v>
      </c>
      <c r="D52" s="149">
        <f>IF(D7="","",D7/D21)</f>
        <v>1.395943363753986</v>
      </c>
      <c r="E52" s="149">
        <f t="shared" ref="E52:M52" si="22">IF(E7="","",E7/E21)</f>
        <v>1.182011876220352</v>
      </c>
      <c r="F52" s="149">
        <f t="shared" si="22"/>
        <v>1.0115502541769159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382</v>
      </c>
      <c r="C53" s="168">
        <f>C21/C29</f>
        <v>2.0125259580642565</v>
      </c>
      <c r="D53" s="168">
        <f>IF(D29="","",D21/D29)</f>
        <v>1.6568396039603961</v>
      </c>
      <c r="E53" s="168">
        <f t="shared" ref="E53:M53" si="23">IF(E29="","",E21/E29)</f>
        <v>1.3840350049184107</v>
      </c>
      <c r="F53" s="168">
        <f t="shared" si="23"/>
        <v>1.284118650813121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381</v>
      </c>
      <c r="C54" s="149">
        <f>C51*C52*C53</f>
        <v>3.4362925263370932E-2</v>
      </c>
      <c r="D54" s="149">
        <f>IF(D51="","",D51*D52*D53)</f>
        <v>1.1285783672706894E-2</v>
      </c>
      <c r="E54" s="149">
        <f t="shared" ref="E54:M54" si="24">IF(E51="","",E51*E52*E53)</f>
        <v>3.3844881781064588E-2</v>
      </c>
      <c r="F54" s="149">
        <f t="shared" si="24"/>
        <v>3.1758700459941808E-2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0.38097339187559653</v>
      </c>
      <c r="D55" s="158">
        <f>IF(D38="","",D38*D54)</f>
        <v>9.8437013512672034E-2</v>
      </c>
      <c r="E55" s="158">
        <f t="shared" ref="E55:M55" si="25">IF(E38="","",E38*E54)</f>
        <v>2.698319886304364E-2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343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C34" sqref="C3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4086917</v>
      </c>
      <c r="E3" s="191" t="str">
        <f>IF((C49-I49)=D3,"", "Error!")</f>
        <v/>
      </c>
      <c r="F3" s="6"/>
      <c r="G3" s="6"/>
      <c r="H3" s="112" t="s">
        <v>216</v>
      </c>
      <c r="I3" s="163">
        <v>4036311</v>
      </c>
      <c r="K3" s="43"/>
    </row>
    <row r="4" spans="1:11" ht="15" customHeight="1">
      <c r="B4" s="5" t="s">
        <v>193</v>
      </c>
      <c r="C4" s="6"/>
      <c r="D4" s="186">
        <f>D3-I3</f>
        <v>50606</v>
      </c>
      <c r="E4" s="90"/>
      <c r="F4" s="6"/>
      <c r="G4" s="6"/>
      <c r="H4" s="38" t="s">
        <v>71</v>
      </c>
      <c r="I4" s="139">
        <f>(I3*Dashboard!I12*Data!C4)/Dashboard!I5</f>
        <v>5.0990886806406577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318</v>
      </c>
      <c r="C6" s="6"/>
      <c r="D6" s="193">
        <f>E49-I49-E53</f>
        <v>1051142.5712913082</v>
      </c>
      <c r="E6" s="149">
        <f>1-D6/D3</f>
        <v>0.74280305391782897</v>
      </c>
      <c r="F6" s="6"/>
      <c r="G6" s="6"/>
      <c r="H6" s="3" t="s">
        <v>257</v>
      </c>
      <c r="I6" s="184">
        <f>C28/I28</f>
        <v>1.5955561828725568</v>
      </c>
      <c r="J6" s="6"/>
      <c r="K6" s="43"/>
    </row>
    <row r="7" spans="1:11" ht="15" customHeight="1" thickTop="1">
      <c r="B7" s="32" t="s">
        <v>319</v>
      </c>
      <c r="C7" s="6"/>
      <c r="D7" s="187">
        <f>MAX((D6*Exchange_Rate*Data!C4)/Common_Shares, 0)</f>
        <v>1.3279128360057053</v>
      </c>
      <c r="E7" s="18" t="str">
        <f>Dashboard!J4</f>
        <v>HKD</v>
      </c>
      <c r="H7" s="3" t="s">
        <v>258</v>
      </c>
      <c r="I7" s="184">
        <f>C25/I28</f>
        <v>0.62572409874452151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0.56938210481743268</v>
      </c>
      <c r="K8" s="43"/>
    </row>
    <row r="9" spans="1:11" ht="15" customHeight="1">
      <c r="A9" s="4"/>
      <c r="B9" s="111" t="s">
        <v>211</v>
      </c>
      <c r="C9" s="84"/>
      <c r="D9" s="188">
        <v>44742</v>
      </c>
      <c r="E9" s="189" t="s">
        <v>384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2356066</v>
      </c>
      <c r="D11" s="180">
        <v>1</v>
      </c>
      <c r="E11" s="51">
        <f t="shared" ref="E11:E21" si="0">C11*D11</f>
        <v>2356066</v>
      </c>
      <c r="F11" s="6"/>
      <c r="G11" s="6"/>
      <c r="H11" s="5" t="s">
        <v>79</v>
      </c>
      <c r="I11" s="179">
        <v>713142</v>
      </c>
      <c r="J11" s="6"/>
      <c r="K11" s="43"/>
    </row>
    <row r="12" spans="1:11" ht="14">
      <c r="B12" s="3" t="s">
        <v>80</v>
      </c>
      <c r="C12" s="179">
        <v>3815</v>
      </c>
      <c r="D12" s="180">
        <v>1</v>
      </c>
      <c r="E12" s="51">
        <f t="shared" si="0"/>
        <v>3815</v>
      </c>
      <c r="F12" s="6"/>
      <c r="G12" s="6"/>
      <c r="H12" s="5" t="s">
        <v>81</v>
      </c>
      <c r="I12" s="179">
        <v>8052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v>0</v>
      </c>
      <c r="D14" s="180">
        <v>0.7</v>
      </c>
      <c r="E14" s="51">
        <f t="shared" si="0"/>
        <v>0</v>
      </c>
      <c r="F14" s="6"/>
      <c r="G14" s="6"/>
      <c r="H14" s="6" t="s">
        <v>351</v>
      </c>
      <c r="I14" s="179">
        <v>0</v>
      </c>
      <c r="J14" s="6"/>
      <c r="K14" s="47"/>
    </row>
    <row r="15" spans="1:11" ht="14">
      <c r="B15" s="5" t="s">
        <v>86</v>
      </c>
      <c r="C15" s="179">
        <v>47</v>
      </c>
      <c r="D15" s="180">
        <v>0.5</v>
      </c>
      <c r="E15" s="51">
        <f t="shared" si="0"/>
        <v>23.5</v>
      </c>
      <c r="F15" s="6"/>
      <c r="G15" s="6"/>
      <c r="H15" s="5" t="s">
        <v>87</v>
      </c>
      <c r="I15" s="130">
        <f>I28-SUM(I11:I14)</f>
        <v>3423441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350</v>
      </c>
      <c r="C17" s="179">
        <v>2593351</v>
      </c>
      <c r="D17" s="180">
        <v>0.6</v>
      </c>
      <c r="E17" s="51">
        <f t="shared" si="0"/>
        <v>1556010.5999999999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1657586</v>
      </c>
      <c r="D18" s="180">
        <v>0.5</v>
      </c>
      <c r="E18" s="51">
        <f t="shared" si="0"/>
        <v>828793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2133</v>
      </c>
      <c r="D21" s="180">
        <v>0.95</v>
      </c>
      <c r="E21" s="51">
        <f t="shared" si="0"/>
        <v>2026.35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395</v>
      </c>
      <c r="G23" s="6"/>
      <c r="H23" s="6"/>
      <c r="I23" s="6"/>
    </row>
    <row r="24" spans="2:10" ht="15" customHeight="1">
      <c r="B24" s="41" t="s">
        <v>385</v>
      </c>
      <c r="C24" s="182">
        <f>SUM(C11:C14)</f>
        <v>2359881</v>
      </c>
      <c r="D24" s="183">
        <f>IF(E24=0,0,E24/C24)</f>
        <v>1</v>
      </c>
      <c r="E24" s="51">
        <f>SUM(E11:E14)</f>
        <v>2359881</v>
      </c>
      <c r="F24" s="233">
        <f>E24/$E$28</f>
        <v>0.49715884148522366</v>
      </c>
      <c r="G24" s="6"/>
      <c r="H24" s="3" t="s">
        <v>393</v>
      </c>
      <c r="I24" s="312">
        <f>I11+I12+I13</f>
        <v>721194</v>
      </c>
    </row>
    <row r="25" spans="2:10" ht="15" customHeight="1">
      <c r="B25" s="41" t="s">
        <v>389</v>
      </c>
      <c r="C25" s="182">
        <f>SUM(C15:C17)</f>
        <v>2593398</v>
      </c>
      <c r="D25" s="183">
        <f>IF(E25=0,0,E25/C25)</f>
        <v>0.59999818770585922</v>
      </c>
      <c r="E25" s="51">
        <f>SUM(E15:E17)</f>
        <v>1556034.0999999999</v>
      </c>
      <c r="F25" s="233">
        <f t="shared" ref="F25:F27" si="2">E25/$E$28</f>
        <v>0.32781149154025252</v>
      </c>
      <c r="G25" s="6"/>
      <c r="H25" s="41" t="s">
        <v>396</v>
      </c>
      <c r="I25" s="184">
        <f>E28/I28</f>
        <v>1.1452720082709331</v>
      </c>
    </row>
    <row r="26" spans="2:10" ht="15" customHeight="1">
      <c r="B26" s="41" t="s">
        <v>387</v>
      </c>
      <c r="C26" s="182">
        <f>C18+C19+C20</f>
        <v>1657586</v>
      </c>
      <c r="D26" s="183">
        <f t="shared" ref="D26:D27" si="3">IF(E26=0,0,E26/C26)</f>
        <v>0.5</v>
      </c>
      <c r="E26" s="51">
        <f>E18+E19+E20</f>
        <v>828793</v>
      </c>
      <c r="F26" s="233">
        <f t="shared" si="2"/>
        <v>0.17460277349199513</v>
      </c>
      <c r="G26" s="6"/>
      <c r="H26" s="41" t="s">
        <v>260</v>
      </c>
      <c r="I26" s="184">
        <f>E24/($I$28-I15)</f>
        <v>3.272186124676578</v>
      </c>
      <c r="J26" s="13" t="str">
        <f>IF(I26&lt;1,"Liquidity Problem!","")</f>
        <v/>
      </c>
    </row>
    <row r="27" spans="2:10" ht="15" customHeight="1">
      <c r="B27" s="41" t="s">
        <v>388</v>
      </c>
      <c r="C27" s="305">
        <f>C21+C22</f>
        <v>2133</v>
      </c>
      <c r="D27" s="183">
        <f t="shared" si="3"/>
        <v>0.95</v>
      </c>
      <c r="E27" s="51">
        <f>E21+E22</f>
        <v>2026.35</v>
      </c>
      <c r="F27" s="233">
        <f t="shared" si="2"/>
        <v>4.2689348252881521E-4</v>
      </c>
      <c r="G27" s="6"/>
      <c r="H27" s="41" t="s">
        <v>264</v>
      </c>
      <c r="I27" s="184">
        <f>(E25+E24)/$I$28</f>
        <v>0.9448154300680276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6612998</v>
      </c>
      <c r="D28" s="166">
        <f t="shared" ref="D28" si="4">E28/C28</f>
        <v>0.71778858091292319</v>
      </c>
      <c r="E28" s="212">
        <f>SUM(E24:E27)</f>
        <v>4746734.4499999993</v>
      </c>
      <c r="F28" s="6"/>
      <c r="G28" s="6"/>
      <c r="H28" s="306" t="s">
        <v>53</v>
      </c>
      <c r="I28" s="190">
        <v>4144635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72207</v>
      </c>
      <c r="J30" s="6"/>
    </row>
    <row r="31" spans="2:10" ht="15" customHeight="1">
      <c r="B31" s="5" t="s">
        <v>96</v>
      </c>
      <c r="C31" s="179">
        <v>0</v>
      </c>
      <c r="D31" s="180">
        <v>0.7</v>
      </c>
      <c r="E31" s="51">
        <f t="shared" ref="E31:E42" si="5">C31*D31</f>
        <v>0</v>
      </c>
      <c r="F31" s="6"/>
      <c r="G31" s="6"/>
      <c r="H31" s="5" t="s">
        <v>97</v>
      </c>
      <c r="I31" s="179">
        <v>11875</v>
      </c>
      <c r="J31" s="6"/>
    </row>
    <row r="32" spans="2:10" ht="15" customHeight="1">
      <c r="B32" s="5" t="s">
        <v>98</v>
      </c>
      <c r="C32" s="179">
        <v>42515</v>
      </c>
      <c r="D32" s="180">
        <v>0.5</v>
      </c>
      <c r="E32" s="51">
        <f t="shared" si="5"/>
        <v>21257.5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352</v>
      </c>
      <c r="I33" s="179">
        <v>0</v>
      </c>
      <c r="J33" s="6"/>
    </row>
    <row r="34" spans="2:10" ht="1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133710</v>
      </c>
      <c r="J34" s="6"/>
    </row>
    <row r="35" spans="2:10" ht="14">
      <c r="B35" s="5" t="s">
        <v>103</v>
      </c>
      <c r="C35" s="179">
        <v>10891</v>
      </c>
      <c r="D35" s="180">
        <v>0.5</v>
      </c>
      <c r="E35" s="51">
        <f t="shared" si="5"/>
        <v>5445.5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1701740+43976</f>
        <v>1745716</v>
      </c>
      <c r="D38" s="180">
        <v>0.4</v>
      </c>
      <c r="E38" s="51">
        <f t="shared" si="5"/>
        <v>698286.4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24485</v>
      </c>
      <c r="D40" s="180">
        <v>0.1</v>
      </c>
      <c r="E40" s="51">
        <f t="shared" si="5"/>
        <v>2448.5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12739</v>
      </c>
      <c r="D41" s="180">
        <v>0.95</v>
      </c>
      <c r="E41" s="51">
        <f t="shared" si="5"/>
        <v>12102.05</v>
      </c>
      <c r="F41" s="6"/>
      <c r="G41" s="6"/>
      <c r="H41" s="6"/>
      <c r="I41" s="6"/>
    </row>
    <row r="42" spans="2:10" ht="15" customHeight="1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386</v>
      </c>
      <c r="C44" s="182">
        <f>SUM(C30:C31)</f>
        <v>0</v>
      </c>
      <c r="D44" s="183">
        <f>IF(E44=0,0,E44/C44)</f>
        <v>0</v>
      </c>
      <c r="E44" s="51">
        <f>SUM(E30:E31)</f>
        <v>0</v>
      </c>
      <c r="F44" s="233"/>
      <c r="G44" s="6"/>
      <c r="H44" s="3" t="s">
        <v>394</v>
      </c>
      <c r="I44" s="312">
        <f>I30+I31+I32</f>
        <v>84082</v>
      </c>
    </row>
    <row r="45" spans="2:10" ht="15" customHeight="1">
      <c r="B45" s="41" t="s">
        <v>390</v>
      </c>
      <c r="C45" s="182">
        <f>SUM(C32:C35)</f>
        <v>53406</v>
      </c>
      <c r="D45" s="183">
        <f>IF(E45=0,0,E45/C45)</f>
        <v>0.5</v>
      </c>
      <c r="E45" s="51">
        <f>SUM(E32:E35)</f>
        <v>26703</v>
      </c>
      <c r="F45" s="233"/>
      <c r="G45" s="6"/>
    </row>
    <row r="46" spans="2:10" ht="15" customHeight="1">
      <c r="B46" s="41" t="s">
        <v>391</v>
      </c>
      <c r="C46" s="182">
        <f>C36+C37+C38+C39</f>
        <v>1745716</v>
      </c>
      <c r="D46" s="183">
        <f t="shared" ref="D46:D47" si="6">IF(E46=0,0,E46/C46)</f>
        <v>0.4</v>
      </c>
      <c r="E46" s="51">
        <f>E36+E37+E38+E39</f>
        <v>698286.4</v>
      </c>
      <c r="F46" s="6"/>
      <c r="G46" s="6"/>
      <c r="H46" s="41" t="s">
        <v>261</v>
      </c>
      <c r="I46" s="184">
        <f>(E44+E24)/D55</f>
        <v>2.9305244413095632</v>
      </c>
      <c r="J46" s="13" t="str">
        <f>IF(I46&lt;1,"Liquidity Problem!","")</f>
        <v/>
      </c>
    </row>
    <row r="47" spans="2:10" ht="15" customHeight="1">
      <c r="B47" s="41" t="s">
        <v>392</v>
      </c>
      <c r="C47" s="182">
        <f>C40+C41+C42</f>
        <v>37224</v>
      </c>
      <c r="D47" s="183">
        <f t="shared" si="6"/>
        <v>0.39089162905652264</v>
      </c>
      <c r="E47" s="51">
        <f>E40+E41+E42</f>
        <v>14550.55</v>
      </c>
      <c r="F47" s="6"/>
      <c r="G47" s="6"/>
      <c r="H47" s="41" t="s">
        <v>265</v>
      </c>
      <c r="I47" s="184">
        <f>(E44+E45+E24+E25)/$I$49</f>
        <v>0.90376712320916763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1836346</v>
      </c>
      <c r="D48" s="310">
        <f>E48/C48</f>
        <v>0.40272364249438836</v>
      </c>
      <c r="E48" s="304">
        <f>SUM(E30:E42)</f>
        <v>739539.95000000007</v>
      </c>
      <c r="F48" s="6"/>
      <c r="G48" s="6"/>
      <c r="H48" s="308" t="s">
        <v>109</v>
      </c>
      <c r="I48" s="311">
        <v>217792</v>
      </c>
      <c r="J48" s="13"/>
    </row>
    <row r="49" spans="2:10" ht="15" customHeight="1" thickTop="1">
      <c r="B49" s="5" t="s">
        <v>378</v>
      </c>
      <c r="C49" s="182">
        <f>SUM(C44:C47)+C28</f>
        <v>8449344</v>
      </c>
      <c r="D49" s="149">
        <f>E49/C49</f>
        <v>0.64931365085857551</v>
      </c>
      <c r="E49" s="51">
        <f>E28+E48</f>
        <v>5486274.3999999994</v>
      </c>
      <c r="F49" s="6"/>
      <c r="G49" s="6"/>
      <c r="H49" s="5" t="s">
        <v>262</v>
      </c>
      <c r="I49" s="130">
        <f>I28+I48</f>
        <v>4362427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P/B Approach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50606</v>
      </c>
      <c r="D53" s="54">
        <f>IF(E53=0, 0,E53/C53)</f>
        <v>1.4366839645237965</v>
      </c>
      <c r="E53" s="51">
        <f>MAX(C53,C53*Dashboard!I10)</f>
        <v>72704.828708691246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805276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50">
        <f>SUM(I11:I13)+SUM(I30:I32)</f>
        <v>805276</v>
      </c>
      <c r="E56" s="381"/>
      <c r="F56" s="5"/>
      <c r="G56" s="5"/>
      <c r="H56" s="6" t="s">
        <v>263</v>
      </c>
      <c r="I56" s="149">
        <f>D56/I3</f>
        <v>0.1995079170063952</v>
      </c>
    </row>
    <row r="57" spans="2:10" ht="14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349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53453</v>
      </c>
      <c r="D61" s="149">
        <f>IF(E61=0,0,E61/C61)</f>
        <v>0.5</v>
      </c>
      <c r="E61" s="130">
        <f>E14+E15+(E19*G19)+(E20*G20)+E31+E32+(E33*G33)+(E35*G35)+(E36*G36)+(E37*G37)</f>
        <v>26726.5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2359881</v>
      </c>
      <c r="D62" s="54">
        <f>IF(E62=0,0,E62/C62)</f>
        <v>1</v>
      </c>
      <c r="E62" s="182">
        <f>E11+E12+E30</f>
        <v>2359881</v>
      </c>
      <c r="F62" s="6"/>
      <c r="G62" s="6"/>
      <c r="H62" s="6"/>
      <c r="I62" s="6"/>
    </row>
    <row r="63" spans="2:10" ht="14">
      <c r="B63" s="32" t="s">
        <v>116</v>
      </c>
      <c r="C63" s="6"/>
      <c r="D63" s="350">
        <f>((Dashboard!I6*Data!C4)+D55+E53-C61-C62)</f>
        <v>4377711.8994286917</v>
      </c>
      <c r="E63" s="350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1.0112977915964591E-2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0.34289999999999998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0.34289999999999998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disablePrompts="1"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80"/>
  <sheetViews>
    <sheetView showGridLines="0" zoomScaleNormal="100" zoomScalePageLayoutView="80" workbookViewId="0">
      <selection activeCell="G27" sqref="G27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IF(H10="","",EOMONTH(EDATE(G3,12),0))</f>
        <v/>
      </c>
      <c r="I3" s="194" t="str">
        <f>IF(I17="","",EOMONTH(EDATE(H3,12),0))</f>
        <v/>
      </c>
      <c r="K3" s="42" t="s">
        <v>117</v>
      </c>
    </row>
    <row r="4" spans="1:12" ht="15.75" customHeight="1">
      <c r="B4" s="118" t="s">
        <v>397</v>
      </c>
      <c r="C4" s="205">
        <v>1600216</v>
      </c>
      <c r="D4" s="205">
        <v>2562909</v>
      </c>
      <c r="E4" s="205">
        <v>5067853</v>
      </c>
      <c r="F4" s="205">
        <v>7494766</v>
      </c>
      <c r="G4" s="205">
        <f>(3706212*1.08)*2</f>
        <v>8005417.9200000009</v>
      </c>
      <c r="H4" s="206"/>
      <c r="I4" s="206"/>
      <c r="J4" s="6"/>
      <c r="K4" s="43" t="s">
        <v>401</v>
      </c>
      <c r="L4" s="36"/>
    </row>
    <row r="5" spans="1:12" ht="15.75" customHeight="1">
      <c r="B5" s="118" t="s">
        <v>398</v>
      </c>
      <c r="C5" s="196">
        <v>1306273</v>
      </c>
      <c r="D5" s="196">
        <v>1152691</v>
      </c>
      <c r="E5" s="196">
        <v>1440522</v>
      </c>
      <c r="F5" s="196">
        <v>1607278</v>
      </c>
      <c r="G5" s="196">
        <f>(768202*0.95)*2</f>
        <v>1459583.8</v>
      </c>
      <c r="H5" s="197"/>
      <c r="I5" s="197"/>
      <c r="J5" s="6"/>
      <c r="K5" s="43"/>
      <c r="L5" s="36"/>
    </row>
    <row r="6" spans="1:12" ht="15.75" customHeight="1">
      <c r="B6" s="118" t="s">
        <v>399</v>
      </c>
      <c r="C6" s="196">
        <v>204561</v>
      </c>
      <c r="D6" s="196">
        <v>207215</v>
      </c>
      <c r="E6" s="196">
        <v>435503</v>
      </c>
      <c r="F6" s="196">
        <v>680320</v>
      </c>
      <c r="G6" s="196">
        <f>(351245*1.1)*2</f>
        <v>772739.00000000012</v>
      </c>
      <c r="H6" s="197"/>
      <c r="I6" s="197"/>
      <c r="J6" s="6"/>
      <c r="K6" s="43"/>
      <c r="L6" s="36"/>
    </row>
    <row r="7" spans="1:12" ht="15.75" customHeight="1">
      <c r="B7" s="118" t="s">
        <v>400</v>
      </c>
      <c r="C7" s="196">
        <v>127850</v>
      </c>
      <c r="D7" s="196">
        <v>263079</v>
      </c>
      <c r="E7" s="196">
        <v>334185</v>
      </c>
      <c r="F7" s="196">
        <v>543408</v>
      </c>
      <c r="G7" s="196">
        <f>(170734*0.9)*2</f>
        <v>307321.2</v>
      </c>
      <c r="H7" s="197"/>
      <c r="I7" s="197"/>
      <c r="J7" s="6"/>
      <c r="K7" s="43"/>
      <c r="L7" s="36"/>
    </row>
    <row r="8" spans="1:12" ht="15.75" customHeight="1">
      <c r="B8" s="118" t="s">
        <v>354</v>
      </c>
      <c r="C8" s="196">
        <v>335078</v>
      </c>
      <c r="D8" s="196">
        <v>341020</v>
      </c>
      <c r="E8" s="196">
        <v>459880</v>
      </c>
      <c r="F8" s="196">
        <v>396589</v>
      </c>
      <c r="G8" s="196">
        <f>(213824*0.8)*2</f>
        <v>342118.40000000002</v>
      </c>
      <c r="H8" s="197"/>
      <c r="I8" s="197"/>
      <c r="J8" s="6"/>
      <c r="K8" s="43"/>
      <c r="L8" s="36"/>
    </row>
    <row r="9" spans="1:12" ht="15.75" customHeight="1">
      <c r="B9" s="5" t="s">
        <v>118</v>
      </c>
      <c r="C9" s="198">
        <f>Data!F7</f>
        <v>3573978</v>
      </c>
      <c r="D9" s="198">
        <f>Data!E7</f>
        <v>4526914</v>
      </c>
      <c r="E9" s="198">
        <f>Data!D7</f>
        <v>7737943</v>
      </c>
      <c r="F9" s="198">
        <f>Data!C7</f>
        <v>10722361</v>
      </c>
      <c r="G9" s="200">
        <f>SUM(G4:G8)</f>
        <v>10887180.32</v>
      </c>
      <c r="H9" s="200"/>
      <c r="I9" s="201"/>
      <c r="J9" s="6"/>
      <c r="K9" s="43"/>
      <c r="L9" s="36"/>
    </row>
    <row r="10" spans="1:12" ht="15.75" customHeight="1">
      <c r="B10" s="14" t="s">
        <v>356</v>
      </c>
      <c r="C10" s="285"/>
      <c r="D10" s="171">
        <f>D9/C9-1</f>
        <v>0.266631747593298</v>
      </c>
      <c r="E10" s="171">
        <f>E9/D9-1</f>
        <v>0.70931963805806775</v>
      </c>
      <c r="F10" s="171">
        <f>Data!C8</f>
        <v>0.38568622177754475</v>
      </c>
      <c r="G10" s="149">
        <f>G9/F9-1</f>
        <v>1.5371551097747904E-2</v>
      </c>
      <c r="H10" s="149"/>
      <c r="I10" s="180"/>
      <c r="J10" s="6"/>
      <c r="K10" s="43"/>
      <c r="L10" s="36"/>
    </row>
    <row r="11" spans="1:12" ht="15.75" customHeight="1">
      <c r="B11" s="8" t="s">
        <v>119</v>
      </c>
      <c r="C11" s="202">
        <f>Data!F9</f>
        <v>3214958</v>
      </c>
      <c r="D11" s="202">
        <f>Data!E9</f>
        <v>4204600</v>
      </c>
      <c r="E11" s="202">
        <f>Data!D9</f>
        <v>7340712</v>
      </c>
      <c r="F11" s="202">
        <f>Data!C9</f>
        <v>10136404</v>
      </c>
      <c r="G11" s="203">
        <f>(4650060+403099+85721)*2</f>
        <v>10277760</v>
      </c>
      <c r="H11" s="204" t="str">
        <f>IF(H9="","",H9*(1-H12))</f>
        <v/>
      </c>
      <c r="I11" s="204" t="str">
        <f>IF(I9="","",I9*(1-I12))</f>
        <v/>
      </c>
      <c r="J11" s="6"/>
      <c r="K11" s="77"/>
      <c r="L11" s="1"/>
    </row>
    <row r="12" spans="1:12" ht="15.75" customHeight="1">
      <c r="B12" s="14" t="s">
        <v>44</v>
      </c>
      <c r="C12" s="96">
        <f t="shared" ref="C12:E12" si="0">(C9-C11)/C9</f>
        <v>0.10045389199373919</v>
      </c>
      <c r="D12" s="96">
        <f t="shared" si="0"/>
        <v>7.1199497052517449E-2</v>
      </c>
      <c r="E12" s="96">
        <f t="shared" si="0"/>
        <v>5.1335477658597382E-2</v>
      </c>
      <c r="F12" s="96">
        <f>(F9-F11)/F9</f>
        <v>5.4648132067181845E-2</v>
      </c>
      <c r="G12" s="208">
        <f>(G9-G11)/G9</f>
        <v>5.5975955397788456E-2</v>
      </c>
      <c r="H12" s="208"/>
      <c r="I12" s="208"/>
      <c r="J12" s="6"/>
      <c r="K12" s="43"/>
    </row>
    <row r="13" spans="1:12" ht="15.75" customHeight="1">
      <c r="B13" s="5" t="s">
        <v>355</v>
      </c>
      <c r="C13" s="51">
        <f>C9-C11</f>
        <v>359020</v>
      </c>
      <c r="D13" s="51">
        <f t="shared" ref="D13:E13" si="1">D9-D11</f>
        <v>322314</v>
      </c>
      <c r="E13" s="51">
        <f t="shared" si="1"/>
        <v>397231</v>
      </c>
      <c r="F13" s="51">
        <f>F9-F11</f>
        <v>585957</v>
      </c>
      <c r="G13" s="51">
        <f>G9-G11</f>
        <v>609420.3200000003</v>
      </c>
      <c r="H13" s="51" t="str">
        <f>IF(H10="","",H9-H11)</f>
        <v/>
      </c>
      <c r="I13" s="51" t="str">
        <f>IF(I10="","",I9-I11)</f>
        <v/>
      </c>
      <c r="J13" s="6"/>
      <c r="K13" s="43"/>
    </row>
    <row r="14" spans="1:12" ht="15.75" customHeight="1">
      <c r="B14" s="14" t="s">
        <v>46</v>
      </c>
      <c r="C14" s="54">
        <f>C15/C9</f>
        <v>7.6004385029790331E-2</v>
      </c>
      <c r="D14" s="54">
        <f t="shared" ref="D14:E14" si="2">D15/D9</f>
        <v>5.0511231271457777E-2</v>
      </c>
      <c r="E14" s="54">
        <f t="shared" si="2"/>
        <v>4.6455886273651797E-2</v>
      </c>
      <c r="F14" s="54">
        <f>F15/F9</f>
        <v>4.1457940093604387E-2</v>
      </c>
      <c r="G14" s="207">
        <f>F14</f>
        <v>4.1457940093604387E-2</v>
      </c>
      <c r="H14" s="180"/>
      <c r="I14" s="180"/>
      <c r="J14" s="6"/>
      <c r="K14" s="43"/>
    </row>
    <row r="15" spans="1:12" ht="15.75" customHeight="1">
      <c r="B15" s="8" t="s">
        <v>120</v>
      </c>
      <c r="C15" s="198">
        <f>Data!F11</f>
        <v>271638</v>
      </c>
      <c r="D15" s="198">
        <f>Data!E11</f>
        <v>228660</v>
      </c>
      <c r="E15" s="198">
        <f>Data!D11</f>
        <v>359473</v>
      </c>
      <c r="F15" s="198">
        <f>Data!C11</f>
        <v>444527</v>
      </c>
      <c r="G15" s="161">
        <f>207908*2</f>
        <v>415816</v>
      </c>
      <c r="H15" s="161"/>
      <c r="I15" s="161"/>
      <c r="J15" s="6"/>
      <c r="K15" s="43"/>
    </row>
    <row r="16" spans="1:12" ht="15.75" customHeight="1">
      <c r="B16" s="14" t="s">
        <v>47</v>
      </c>
      <c r="C16" s="166">
        <f t="shared" ref="C16:E16" si="3">C18/C9</f>
        <v>2.4449506963948854E-2</v>
      </c>
      <c r="D16" s="166">
        <f t="shared" si="3"/>
        <v>2.068826578105968E-2</v>
      </c>
      <c r="E16" s="166">
        <f t="shared" si="3"/>
        <v>4.8795913849455858E-3</v>
      </c>
      <c r="F16" s="166">
        <f>F18/F9</f>
        <v>1.319019197357746E-2</v>
      </c>
      <c r="G16" s="166">
        <f>G18/G9</f>
        <v>1.7782778856371535E-2</v>
      </c>
      <c r="H16" s="166" t="str">
        <f>IF(H10="","",H18/H9)</f>
        <v/>
      </c>
      <c r="I16" s="166" t="str">
        <f>IF(I10="","",I18/I9)</f>
        <v/>
      </c>
      <c r="J16" s="6"/>
      <c r="K16" s="43"/>
      <c r="L16" s="36"/>
    </row>
    <row r="17" spans="2:12" ht="15.75" customHeight="1">
      <c r="B17" s="14" t="s">
        <v>121</v>
      </c>
      <c r="C17" s="285"/>
      <c r="D17" s="171">
        <f t="shared" ref="D17:E17" si="4">D18/C18-1</f>
        <v>7.1776796136504117E-2</v>
      </c>
      <c r="E17" s="171">
        <f t="shared" si="4"/>
        <v>-0.59683515920302388</v>
      </c>
      <c r="F17" s="171">
        <f>F18/E18-1</f>
        <v>2.7456962762858201</v>
      </c>
      <c r="G17" s="149">
        <f>IF(ABS(F18+G18)=ABS(F18)+ABS(G18),IF(G18&lt;0,-1,1)*(G18-F18)/F18,"Turn")</f>
        <v>0.36890560701407266</v>
      </c>
      <c r="H17" s="149" t="str">
        <f>IF(H10="","",IF(ABS(G18+H18)=ABS(G18)+ABS(H18),IF(H18&lt;0,-1,1)*(H18-G18)/G18,"Turn"))</f>
        <v/>
      </c>
      <c r="I17" s="149" t="str">
        <f>IF(I10="","",IF(ABS(H18+I18)=ABS(H18)+ABS(I18),IF(I18&lt;0,-1,1)*(I18-H18)/H18,"Turn"))</f>
        <v/>
      </c>
      <c r="J17" s="6"/>
      <c r="K17" s="45"/>
      <c r="L17" s="46"/>
    </row>
    <row r="18" spans="2:12" ht="15.75" customHeight="1">
      <c r="B18" s="5" t="s">
        <v>207</v>
      </c>
      <c r="C18" s="154">
        <f t="shared" ref="C18:D18" si="5">C13-C15</f>
        <v>87382</v>
      </c>
      <c r="D18" s="154">
        <f t="shared" si="5"/>
        <v>93654</v>
      </c>
      <c r="E18" s="154">
        <f>E13-E15</f>
        <v>37758</v>
      </c>
      <c r="F18" s="154">
        <f>F13-F15</f>
        <v>141430</v>
      </c>
      <c r="G18" s="154">
        <f>G13-G15</f>
        <v>193604.3200000003</v>
      </c>
      <c r="H18" s="154" t="str">
        <f>IF(H10="","",H13-H15)</f>
        <v/>
      </c>
      <c r="I18" s="154" t="str">
        <f>IF(I10="","",I13-I15)</f>
        <v/>
      </c>
      <c r="J18" s="6"/>
      <c r="K18" s="47"/>
      <c r="L18" s="35"/>
    </row>
    <row r="19" spans="2:12" ht="15.75" customHeight="1">
      <c r="B19" s="209" t="s">
        <v>122</v>
      </c>
      <c r="C19" s="284"/>
      <c r="D19" s="284"/>
      <c r="E19" s="284"/>
      <c r="F19" s="211">
        <v>0.25</v>
      </c>
      <c r="G19" s="166">
        <f>IF(G18="","",F19)</f>
        <v>0.25</v>
      </c>
      <c r="H19" s="166" t="str">
        <f>IF(H18="","",G19)</f>
        <v/>
      </c>
      <c r="I19" s="166" t="str">
        <f>IF(I18="","",H19)</f>
        <v/>
      </c>
      <c r="K19" s="43"/>
    </row>
    <row r="20" spans="2:12" ht="15.75" customHeight="1">
      <c r="B20" s="14" t="s">
        <v>253</v>
      </c>
      <c r="C20" s="285"/>
      <c r="D20" s="285"/>
      <c r="E20" s="285"/>
      <c r="F20" s="171">
        <f>F21/F9</f>
        <v>9.8926439801830957E-3</v>
      </c>
      <c r="G20" s="149">
        <f>G21/G9</f>
        <v>1.3337084142278651E-2</v>
      </c>
      <c r="H20" s="149" t="str">
        <f>IF(H9="","",H21/H9)</f>
        <v/>
      </c>
      <c r="I20" s="149" t="str">
        <f>IF(I9="","",I21/I9)</f>
        <v/>
      </c>
    </row>
    <row r="21" spans="2:12" ht="15.75" customHeight="1">
      <c r="B21" s="85" t="s">
        <v>69</v>
      </c>
      <c r="C21" s="286"/>
      <c r="D21" s="286"/>
      <c r="E21" s="286"/>
      <c r="F21" s="51">
        <f>IF(F18&lt;=0,F18,F18*(1-F19))</f>
        <v>106072.5</v>
      </c>
      <c r="G21" s="210">
        <f>IF(G18="","",IF(G18&lt;=0,G18,G18*(1-G19)))</f>
        <v>145203.24000000022</v>
      </c>
      <c r="H21" s="210" t="str">
        <f>IF(H18="","",IF(H18&lt;=0,H18,H18*(1-H19)))</f>
        <v/>
      </c>
      <c r="I21" s="210" t="str">
        <f>IF(I18="","",IF(I18&lt;=0,I18,I18*(1-I19)))</f>
        <v/>
      </c>
    </row>
    <row r="22" spans="2:12" ht="15.75" customHeight="1">
      <c r="B22" s="14" t="s">
        <v>342</v>
      </c>
      <c r="C22" s="287"/>
      <c r="D22" s="287"/>
      <c r="E22" s="287"/>
      <c r="F22" s="212">
        <f>Data!C35</f>
        <v>1023356.9321999999</v>
      </c>
      <c r="G22" s="213">
        <f>IF(G10&lt;=0,0,(G9-F9)*Asset_Model!$D$67)</f>
        <v>56516.5448280001</v>
      </c>
      <c r="H22" s="213" t="str">
        <f>IF(H9="","",IF(H10&lt;=0,0,(H9-G9)*Asset_Model!$D$67))</f>
        <v/>
      </c>
      <c r="I22" s="213" t="str">
        <f>IF(I9="","",IF(I10&lt;=0,0,(I9-H9)*Asset_Model!$D$67))</f>
        <v/>
      </c>
    </row>
    <row r="23" spans="2:12" ht="15.75" customHeight="1">
      <c r="B23" s="318" t="s">
        <v>407</v>
      </c>
      <c r="C23" s="320"/>
      <c r="D23" s="320">
        <v>140695</v>
      </c>
      <c r="E23" s="320">
        <v>157454</v>
      </c>
      <c r="F23" s="320">
        <v>160871</v>
      </c>
      <c r="G23" s="319">
        <f>F23</f>
        <v>160871</v>
      </c>
      <c r="H23" s="319"/>
      <c r="I23" s="319"/>
    </row>
    <row r="24" spans="2:12" ht="15.75" customHeight="1">
      <c r="B24" s="14" t="s">
        <v>344</v>
      </c>
      <c r="C24" s="288"/>
      <c r="D24" s="288"/>
      <c r="E24" s="288"/>
      <c r="F24" s="95">
        <f>Data!C33</f>
        <v>1176000</v>
      </c>
      <c r="G24" s="161">
        <v>260000</v>
      </c>
      <c r="H24" s="161"/>
      <c r="I24" s="161" t="str">
        <f>IF(I16="","",IF(ABS(H25+I25)=ABS(H25)+ABS(I25),IF(I25&lt;0,-1,1)*(I25-H25)/H25,"Turn"))</f>
        <v/>
      </c>
    </row>
    <row r="25" spans="2:12" ht="15.75" customHeight="1">
      <c r="B25" s="85" t="s">
        <v>346</v>
      </c>
      <c r="C25" s="289"/>
      <c r="D25" s="289"/>
      <c r="E25" s="289"/>
      <c r="F25" s="214">
        <f>F22-F23+F24</f>
        <v>2038485.9321999999</v>
      </c>
      <c r="G25" s="214">
        <f>IF(G16="","",G22-G23+G24)</f>
        <v>155645.5448280001</v>
      </c>
      <c r="H25" s="214" t="str">
        <f>IF(H16="","",H22-H23+H24)</f>
        <v/>
      </c>
      <c r="I25" s="214" t="str">
        <f>IF(I16="","",I22-I23+I24)</f>
        <v/>
      </c>
    </row>
    <row r="26" spans="2:12" ht="15.75" customHeight="1">
      <c r="B26" s="14" t="s">
        <v>336</v>
      </c>
      <c r="C26" s="285"/>
      <c r="D26" s="285"/>
      <c r="E26" s="285"/>
      <c r="F26" s="171">
        <f>AVERAGE(Data!C54:E54)</f>
        <v>2.6497863572380802E-2</v>
      </c>
      <c r="G26" s="387"/>
      <c r="H26" s="388"/>
      <c r="I26" s="389"/>
    </row>
    <row r="27" spans="2:12" ht="15.75" customHeight="1">
      <c r="B27" s="84" t="s">
        <v>123</v>
      </c>
      <c r="C27" s="289"/>
      <c r="D27" s="289"/>
      <c r="E27" s="289"/>
      <c r="F27" s="214">
        <f>F21-F25</f>
        <v>-1932413.4321999999</v>
      </c>
      <c r="G27" s="214">
        <f>G21-G25</f>
        <v>-10442.304827999877</v>
      </c>
      <c r="H27" s="214" t="str">
        <f>IF(H21="","",H21-H25)</f>
        <v/>
      </c>
      <c r="I27" s="214" t="str">
        <f>IF(I21="","",I21-I25)</f>
        <v/>
      </c>
    </row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</sheetData>
  <mergeCells count="1">
    <mergeCell ref="G26:I26"/>
  </mergeCells>
  <phoneticPr fontId="31" type="noConversion"/>
  <conditionalFormatting sqref="C23:G23">
    <cfRule type="containsBlanks" priority="2">
      <formula>LEN(TRIM(C23))=0</formula>
    </cfRule>
  </conditionalFormatting>
  <conditionalFormatting sqref="C23:I23">
    <cfRule type="containsBlanks" dxfId="13" priority="1">
      <formula>LEN(TRIM(C23))=0</formula>
    </cfRule>
  </conditionalFormatting>
  <conditionalFormatting sqref="G19:G21">
    <cfRule type="containsBlanks" dxfId="12" priority="26">
      <formula>LEN(TRIM(G19))=0</formula>
    </cfRule>
  </conditionalFormatting>
  <conditionalFormatting sqref="G26">
    <cfRule type="containsBlanks" dxfId="11" priority="15">
      <formula>LEN(TRIM(G26))=0</formula>
    </cfRule>
  </conditionalFormatting>
  <conditionalFormatting sqref="H11:H14 H16:H18">
    <cfRule type="containsBlanks" priority="35">
      <formula>LEN(TRIM(H11))=0</formula>
    </cfRule>
  </conditionalFormatting>
  <conditionalFormatting sqref="H11:H22">
    <cfRule type="containsBlanks" dxfId="10" priority="34">
      <formula>LEN(TRIM(H11))=0</formula>
    </cfRule>
  </conditionalFormatting>
  <conditionalFormatting sqref="H21:I21">
    <cfRule type="containsBlanks" dxfId="9" priority="28">
      <formula>LEN(TRIM(H21))=0</formula>
    </cfRule>
  </conditionalFormatting>
  <conditionalFormatting sqref="H22:I25">
    <cfRule type="containsBlanks" dxfId="8" priority="3">
      <formula>LEN(TRIM(H22))=0</formula>
    </cfRule>
    <cfRule type="containsBlanks" priority="4">
      <formula>LEN(TRIM(H22))=0</formula>
    </cfRule>
  </conditionalFormatting>
  <conditionalFormatting sqref="H27:I27">
    <cfRule type="containsBlanks" dxfId="7" priority="16">
      <formula>LEN(TRIM(H27))=0</formula>
    </cfRule>
    <cfRule type="containsBlanks" priority="17">
      <formula>LEN(TRIM(H27))=0</formula>
    </cfRule>
  </conditionalFormatting>
  <conditionalFormatting sqref="I10:I18">
    <cfRule type="containsBlanks" priority="31">
      <formula>LEN(TRIM(I10))=0</formula>
    </cfRule>
  </conditionalFormatting>
  <conditionalFormatting sqref="I10:I22">
    <cfRule type="containsBlanks" dxfId="6" priority="30">
      <formula>LEN(TRIM(I10))=0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397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398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399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400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354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357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367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358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359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360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361</v>
      </c>
      <c r="J76" s="296"/>
      <c r="K76" s="296"/>
      <c r="L76" s="296"/>
      <c r="M76" s="296"/>
    </row>
    <row r="78" spans="2:13" ht="13">
      <c r="B78" s="297" t="s">
        <v>366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364</v>
      </c>
      <c r="J80" s="295"/>
      <c r="K80" s="295"/>
      <c r="L80" s="295"/>
      <c r="M80" s="295"/>
    </row>
    <row r="81" spans="2:13">
      <c r="B81" s="292" t="s">
        <v>365</v>
      </c>
      <c r="J81" s="295"/>
      <c r="K81" s="295"/>
      <c r="L81" s="295"/>
      <c r="M81" s="295"/>
    </row>
    <row r="82" spans="2:13">
      <c r="B82" s="292" t="s">
        <v>363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368</v>
      </c>
      <c r="J104" s="298">
        <f>Data!F19</f>
        <v>25020</v>
      </c>
      <c r="K104" s="298">
        <f>Data!E19</f>
        <v>68639</v>
      </c>
      <c r="L104" s="298">
        <f>Data!D19</f>
        <v>327798</v>
      </c>
      <c r="M104" s="298">
        <f>Data!C19</f>
        <v>582451</v>
      </c>
    </row>
    <row r="105" spans="2:13">
      <c r="B105" t="s">
        <v>369</v>
      </c>
      <c r="J105" s="298">
        <f>Data!F33</f>
        <v>69000</v>
      </c>
      <c r="K105" s="298">
        <f>Data!E33</f>
        <v>56000</v>
      </c>
      <c r="L105" s="298">
        <f>Data!D33</f>
        <v>247000</v>
      </c>
      <c r="M105" s="298">
        <f>Data!C33</f>
        <v>1176000</v>
      </c>
    </row>
    <row r="106" spans="2:13">
      <c r="B106" t="s">
        <v>370</v>
      </c>
      <c r="J106" s="298">
        <f>Data!F40</f>
        <v>7352</v>
      </c>
      <c r="K106" s="298">
        <f>Data!E40</f>
        <v>37000</v>
      </c>
      <c r="L106" s="298">
        <f>Data!D40</f>
        <v>36302</v>
      </c>
      <c r="M106" s="298">
        <f>Data!C40</f>
        <v>182000</v>
      </c>
    </row>
    <row r="107" spans="2:13">
      <c r="B107" t="s">
        <v>371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373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230000</v>
      </c>
    </row>
    <row r="111" spans="2:13">
      <c r="B111" t="s">
        <v>375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376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377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G23" sqref="G23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331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41</v>
      </c>
      <c r="C4" s="242">
        <f>IF(B4="NOPAT",Projections!F21,Projections!F9)</f>
        <v>10722361</v>
      </c>
      <c r="D4" s="243">
        <f>IF(B4="NOPAT",Projections!G21,Projections!G9)</f>
        <v>10887180.32</v>
      </c>
      <c r="E4" s="243" t="str">
        <f>IF(Projections!H9="","",IF(B4="NOPAT",Projections!H21,Projections!H9))</f>
        <v/>
      </c>
      <c r="F4" s="243" t="str">
        <f>IF(Projections!I9="","",IF(B4="NOPAT",Projections!I21,Projections!I9))</f>
        <v/>
      </c>
      <c r="G4" s="244">
        <f>IF(F3="",IF(E3="",1,2),3)</f>
        <v>1</v>
      </c>
      <c r="H4" s="6"/>
      <c r="I4" s="47" t="s">
        <v>402</v>
      </c>
      <c r="J4" s="35"/>
    </row>
    <row r="5" spans="1:10" ht="15.75" customHeight="1">
      <c r="B5" s="14" t="str">
        <f>B4&amp;" Growth rate"</f>
        <v>Sales Growth rate</v>
      </c>
      <c r="C5" s="102"/>
      <c r="D5" s="241">
        <f>D4/C4-1</f>
        <v>1.5371551097747904E-2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Reinvestment/Sales</v>
      </c>
      <c r="C6" s="171">
        <f>C7/C4</f>
        <v>0.1901153982970728</v>
      </c>
      <c r="D6" s="171">
        <f>D7/D4</f>
        <v>1.4296221818065754E-2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Projections!F25</f>
        <v>2038485.9321999999</v>
      </c>
      <c r="D7" s="313">
        <f>Projections!G25</f>
        <v>155645.5448280001</v>
      </c>
      <c r="E7" s="247" t="str">
        <f>Projections!H25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IF(C4="","",Projections!F21-C7)</f>
        <v>-1932413.4321999999</v>
      </c>
      <c r="D8" s="210">
        <f>Projections!G21-D7</f>
        <v>-10442.304827999877</v>
      </c>
      <c r="E8" s="210" t="str">
        <f>IF(E4="","",Projections!H21-E7)</f>
        <v/>
      </c>
      <c r="F8" s="210" t="str">
        <f>IF(F4="","",Projections!I21-F7)</f>
        <v/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-2.4412260250632278</v>
      </c>
      <c r="D9" s="248">
        <f>D8/(Common_Shares/Data!$C$4)</f>
        <v>-1.319180765512208E-2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IF(F4="",IF(E4="",D8,E8),F8)*Data!C$4/Common_Shares</f>
        <v>-1.319180765512208E-2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9.6000000000000002E-2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IF(F10="",IF(E10="",1,D11),E11)*(1+G10)</f>
        <v>1.0960000000000001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2359881</v>
      </c>
      <c r="D15" s="106">
        <f>C15/(Dashboard!I5/Data!C4)*Exchange_Rate</f>
        <v>2.9812476032592521</v>
      </c>
      <c r="E15" s="52" t="s">
        <v>199</v>
      </c>
      <c r="G15" s="199">
        <f>C15+C16+C17+C18</f>
        <v>1508626.6712913087</v>
      </c>
    </row>
    <row r="16" spans="1:10" ht="15.75" customHeight="1">
      <c r="B16" s="37" t="s">
        <v>205</v>
      </c>
      <c r="C16" s="51">
        <f>Asset_Model!E61</f>
        <v>26726.5</v>
      </c>
      <c r="D16" s="106">
        <f>C16/(Dashboard!I5/Data!C4)*Exchange_Rate</f>
        <v>3.3763699978307547E-2</v>
      </c>
      <c r="E16" s="52" t="s">
        <v>275</v>
      </c>
      <c r="G16" s="264">
        <f>(G15+MIN(D4,0))*Data!C$4/Dashboard!I5*Exchange_Rate</f>
        <v>1.9058544257105325</v>
      </c>
    </row>
    <row r="17" spans="1:9" ht="15.75" customHeight="1">
      <c r="B17" s="37" t="s">
        <v>192</v>
      </c>
      <c r="C17" s="51">
        <f>-Asset_Model!D55</f>
        <v>-805276</v>
      </c>
      <c r="D17" s="106">
        <f>C17/(Dashboard!I5/Data!C4)*Exchange_Rate</f>
        <v>-1.0173085613055055</v>
      </c>
      <c r="E17" s="342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-72704.828708691246</v>
      </c>
      <c r="D18" s="106">
        <f>C18/(Dashboard!I5/Data!C4)*Exchange_Rate</f>
        <v>-9.1848316221521439E-2</v>
      </c>
      <c r="E18" s="342"/>
      <c r="F18" s="89">
        <f>D15+(MIN(D4,0)*Data!C$4/Dashboard!I5)</f>
        <v>2.9812476032592521</v>
      </c>
      <c r="G18" s="88">
        <f>SUM(D16:D18)</f>
        <v>-1.0753931775487193</v>
      </c>
    </row>
    <row r="19" spans="1:9" ht="15.75" customHeight="1">
      <c r="F19" s="6"/>
      <c r="G19" s="6"/>
    </row>
    <row r="20" spans="1:9" ht="15.75" customHeight="1">
      <c r="B20" s="20" t="s">
        <v>330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1</v>
      </c>
      <c r="C21" s="265" t="s">
        <v>383</v>
      </c>
      <c r="D21" s="38" t="s">
        <v>326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0.67</v>
      </c>
      <c r="D22" s="268">
        <f>C22*D4*Data!C4/Common_Shares</f>
        <v>9.2150598939600652</v>
      </c>
      <c r="E22" s="239">
        <f>IF(D22="",IF(G9&lt;0,G9,G9*C22/G11),D22)</f>
        <v>9.2150598939600652</v>
      </c>
      <c r="F22" s="239">
        <f>SUM(D12:F12)+E22+$G$16</f>
        <v>11.120914319670598</v>
      </c>
      <c r="G22" s="271">
        <f>F22*Exchange_Rate</f>
        <v>11.120914319670598</v>
      </c>
      <c r="I22" s="43"/>
    </row>
    <row r="23" spans="1:9" ht="15.75" customHeight="1">
      <c r="B23" s="132" t="s">
        <v>249</v>
      </c>
      <c r="C23" s="269">
        <v>1.33</v>
      </c>
      <c r="D23" s="270">
        <f>C23*D4*Data!C4/Common_Shares</f>
        <v>18.292581580547591</v>
      </c>
      <c r="E23" s="98">
        <f>IF(D23="",IF(G9&lt;0,G9,G9*C23/G11),D23)</f>
        <v>18.292581580547591</v>
      </c>
      <c r="F23" s="98">
        <f>SUM(D12:F12)+E23+$G$16</f>
        <v>20.198436006258124</v>
      </c>
      <c r="G23" s="272">
        <f>F23*Exchange_Rate</f>
        <v>20.198436006258124</v>
      </c>
      <c r="I23" s="43" t="s">
        <v>404</v>
      </c>
    </row>
    <row r="24" spans="1:9" ht="15.5" customHeight="1">
      <c r="C24" s="6"/>
      <c r="D24" s="6"/>
      <c r="E24" s="391" t="s">
        <v>335</v>
      </c>
      <c r="F24" s="392"/>
      <c r="G24" s="143">
        <f>MIN(G22,G23)+ABS(G22-G23)*Qualitative_Analysis!$E$64</f>
        <v>15.397075428459509</v>
      </c>
    </row>
    <row r="25" spans="1:9" ht="15.75" customHeight="1"/>
    <row r="26" spans="1:9" ht="15.75" customHeight="1">
      <c r="A26" s="4"/>
      <c r="B26" s="56" t="s">
        <v>298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320</v>
      </c>
    </row>
    <row r="28" spans="1:9" ht="15.75" customHeight="1">
      <c r="B28" s="5" t="s">
        <v>123</v>
      </c>
      <c r="C28" s="51">
        <f>C8</f>
        <v>-1932413.4321999999</v>
      </c>
      <c r="D28" s="51">
        <f>D8</f>
        <v>-10442.304827999877</v>
      </c>
      <c r="E28" s="51" t="str">
        <f>E8</f>
        <v/>
      </c>
      <c r="F28" s="51" t="str">
        <f>F8</f>
        <v/>
      </c>
      <c r="G28" s="161"/>
      <c r="I28" s="43" t="s">
        <v>317</v>
      </c>
    </row>
    <row r="29" spans="1:9" ht="15.75" customHeight="1">
      <c r="B29" s="141" t="s">
        <v>299</v>
      </c>
      <c r="C29" s="180">
        <v>0.04</v>
      </c>
      <c r="D29" s="207">
        <v>0.04</v>
      </c>
      <c r="E29" s="180"/>
      <c r="F29" s="207"/>
      <c r="G29" s="207"/>
      <c r="I29" s="43"/>
    </row>
    <row r="30" spans="1:9" ht="15.75" customHeight="1">
      <c r="B30" s="141" t="s">
        <v>308</v>
      </c>
      <c r="C30" s="95">
        <f>MAX(Asset_Model!D55,0)</f>
        <v>805276</v>
      </c>
      <c r="D30" s="150">
        <f>C30*1.1</f>
        <v>885803.60000000009</v>
      </c>
      <c r="E30" s="161"/>
      <c r="F30" s="161"/>
      <c r="G30" s="161"/>
      <c r="I30" s="43" t="s">
        <v>309</v>
      </c>
    </row>
    <row r="31" spans="1:9" ht="15.75" customHeight="1">
      <c r="B31" s="141" t="s">
        <v>313</v>
      </c>
      <c r="C31" s="171">
        <f>Projections!F19</f>
        <v>0.25</v>
      </c>
      <c r="D31" s="171">
        <f>Projections!G19</f>
        <v>0.25</v>
      </c>
      <c r="E31" s="171" t="str">
        <f>Projections!H19</f>
        <v/>
      </c>
      <c r="F31" s="171" t="str">
        <f>Projections!I19</f>
        <v/>
      </c>
      <c r="G31" s="171"/>
      <c r="I31" s="43"/>
    </row>
    <row r="32" spans="1:9" ht="15.75" customHeight="1" thickBot="1">
      <c r="B32" s="142" t="s">
        <v>312</v>
      </c>
      <c r="C32" s="276">
        <f>C30*(C29*(1-Projections!F19))</f>
        <v>24158.28</v>
      </c>
      <c r="D32" s="276">
        <f>(D30*D29)*(1-D31)</f>
        <v>26574.108000000007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300</v>
      </c>
      <c r="C33" s="51">
        <f>C28-C32</f>
        <v>-1956571.7122</v>
      </c>
      <c r="D33" s="210">
        <f>D28-D32</f>
        <v>-37016.412827999884</v>
      </c>
      <c r="E33" s="210" t="str">
        <f>IF(E28="","",E28-E32)</f>
        <v/>
      </c>
      <c r="F33" s="210" t="str">
        <f>IF(F28="","",F28-F32)</f>
        <v/>
      </c>
      <c r="G33" s="317"/>
      <c r="I33" s="43" t="s">
        <v>304</v>
      </c>
    </row>
    <row r="34" spans="1:9" ht="15.75" customHeight="1">
      <c r="B34" s="120" t="s">
        <v>301</v>
      </c>
      <c r="C34" s="139">
        <f>C33/(Common_Shares/Data!$C$4)</f>
        <v>-2.4717452819023928</v>
      </c>
      <c r="D34" s="245">
        <f>D33/(Common_Shares/Data!$C$4)</f>
        <v>-4.6762990178203769E-2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-4.6762990178203769E-2</v>
      </c>
      <c r="H34" s="6"/>
      <c r="I34" s="43"/>
    </row>
    <row r="35" spans="1:9" ht="15.75" customHeight="1">
      <c r="B35" s="141" t="s">
        <v>306</v>
      </c>
      <c r="C35" s="273">
        <f>Dashboard!C31</f>
        <v>7.42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9.6000000000000002E-2</v>
      </c>
      <c r="I35" s="43"/>
    </row>
    <row r="36" spans="1:9" ht="15.75" customHeight="1" thickBot="1">
      <c r="B36" s="142" t="s">
        <v>305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0.71231999999999995</v>
      </c>
      <c r="H36" s="6"/>
      <c r="I36" s="43"/>
    </row>
    <row r="37" spans="1:9" ht="15.75" customHeight="1" thickTop="1">
      <c r="B37" s="5" t="s">
        <v>302</v>
      </c>
      <c r="C37" s="274">
        <f>Qualitative_Analysis!E64^2</f>
        <v>0.22190829081632654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-0.75908299017820369</v>
      </c>
      <c r="I37" s="43" t="s">
        <v>303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IF(F36="",IF(E36="",1,D38),E38)*(1+G35-C37)</f>
        <v>0.87409170918367352</v>
      </c>
      <c r="I38" s="43"/>
    </row>
    <row r="39" spans="1:9" ht="15.75" customHeight="1">
      <c r="B39" s="85" t="s">
        <v>311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-0.86842488288456821</v>
      </c>
      <c r="I39" s="43"/>
    </row>
    <row r="40" spans="1:9" ht="15.75" customHeight="1">
      <c r="B40" s="20" t="s">
        <v>333</v>
      </c>
      <c r="C40" s="6"/>
      <c r="D40" s="6"/>
      <c r="E40" s="393" t="s">
        <v>321</v>
      </c>
      <c r="F40" s="371"/>
      <c r="G40" s="280">
        <f>Asset_Model!D7</f>
        <v>1.3279128360057053</v>
      </c>
    </row>
    <row r="41" spans="1:9" ht="15.75" customHeight="1">
      <c r="C41" s="6"/>
      <c r="D41" s="6"/>
      <c r="E41" s="391" t="s">
        <v>307</v>
      </c>
      <c r="F41" s="391"/>
      <c r="G41" s="281">
        <f ca="1">MAX((G40+SUM(D39:G39))*Exchange_Rate,0)</f>
        <v>0.4594879531211371</v>
      </c>
    </row>
    <row r="42" spans="1:9" ht="15.75" customHeight="1"/>
    <row r="43" spans="1:9" ht="15.75" customHeight="1">
      <c r="A43" s="4"/>
      <c r="B43" s="254" t="s">
        <v>334</v>
      </c>
      <c r="C43" s="6"/>
      <c r="D43" s="6"/>
      <c r="E43" s="22" t="s">
        <v>189</v>
      </c>
      <c r="F43" s="22" t="s">
        <v>327</v>
      </c>
      <c r="G43" s="22" t="s">
        <v>328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8.3764093150504753</v>
      </c>
      <c r="D44" s="262" t="str">
        <f>Dashboard!J4</f>
        <v>HKD</v>
      </c>
      <c r="E44" s="263">
        <f ca="1">(C44-G16)/C9</f>
        <v>-2.6505349455187606</v>
      </c>
      <c r="F44" s="263">
        <f ca="1">C44/(Data!C29*Exchange_Rate*Data!C4/Common_Shares)</f>
        <v>1.6110111035101442</v>
      </c>
      <c r="G44" s="263">
        <f ca="1">C44/(Data!C7*Data!C4*Exchange_Rate/Common_Shares)</f>
        <v>0.61838582029902334</v>
      </c>
      <c r="I44" s="43"/>
    </row>
    <row r="45" spans="1:9" ht="15.75" customHeight="1">
      <c r="B45" s="6" t="s">
        <v>314</v>
      </c>
      <c r="C45" s="255">
        <f>C4*Data!C4*1/Common_Shares*Exchange_Rate</f>
        <v>13.545603796348407</v>
      </c>
      <c r="D45" s="256" t="str">
        <f>D44</f>
        <v>HKD</v>
      </c>
      <c r="E45" s="223">
        <f>(C45-G16)/C9</f>
        <v>-4.7679933161192665</v>
      </c>
      <c r="F45" s="223">
        <f>C45/(Asset_Model!I3*Exchange_Rate*Data!C4/Common_Shares)</f>
        <v>2.6564754301638298</v>
      </c>
      <c r="G45" s="223">
        <f>C45/(Data!C7*Data!C4*Exchange_Rate/Common_Shares)</f>
        <v>1</v>
      </c>
      <c r="I45" s="43"/>
    </row>
    <row r="46" spans="1:9" ht="15.75" customHeight="1">
      <c r="B46" s="257" t="s">
        <v>315</v>
      </c>
      <c r="C46" s="258">
        <f ca="1">MIN(C45,C44)+ABS(C45-C44)*Qualitative_Analysis!E64</f>
        <v>10.811469143919037</v>
      </c>
      <c r="D46" s="256" t="str">
        <f>D45</f>
        <v>HKD</v>
      </c>
      <c r="E46" s="223">
        <f ca="1">(C46-G16)/C9</f>
        <v>-3.64800908509807</v>
      </c>
      <c r="F46" s="223">
        <f ca="1">C46/(Asset_Model!I3*Exchange_Rate*Data!C4/Common_Shares)</f>
        <v>2.1202747826226602</v>
      </c>
      <c r="G46" s="223">
        <f ca="1">C46/(Data!C7*Data!C4*Exchange_Rate/Common_Shares)</f>
        <v>0.79815335709387636</v>
      </c>
    </row>
    <row r="47" spans="1:9" ht="15.75" customHeight="1">
      <c r="B47" s="84" t="s">
        <v>280</v>
      </c>
      <c r="C47" s="259">
        <f ca="1">MAX(G41,C44)/(1+Dashboard!I14)</f>
        <v>6.7011274520403799</v>
      </c>
      <c r="D47" s="260" t="str">
        <f>D45</f>
        <v>HKD</v>
      </c>
      <c r="E47" s="224">
        <f ca="1">(C47-G16)/C9</f>
        <v>-1.9642888356499681</v>
      </c>
      <c r="F47" s="224">
        <f ca="1">C47/(Asset_Model!I3*Exchange_Rate*Data!C4/Common_Shares)</f>
        <v>1.3141813903888488</v>
      </c>
      <c r="G47" s="224">
        <f ca="1">C47/(Data!C7*Data!C4*Exchange_Rate/Common_Shares)</f>
        <v>0.49470865623921867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15" sqref="G15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4">
      <c r="B5" s="6" t="s">
        <v>228</v>
      </c>
      <c r="C5" s="60"/>
      <c r="D5" s="58">
        <f>AVERAGE(D12:D16)</f>
        <v>2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2.12</v>
      </c>
      <c r="E8" s="215">
        <f>D8/4</f>
        <v>0.53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4</v>
      </c>
      <c r="E13" s="175" t="s">
        <v>137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339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340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348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341</v>
      </c>
    </row>
    <row r="21" spans="2:7" ht="15" customHeight="1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1</v>
      </c>
      <c r="E28" s="175" t="s">
        <v>135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0.35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0</v>
      </c>
      <c r="E31" s="175" t="s">
        <v>150</v>
      </c>
      <c r="F31" s="6"/>
      <c r="G31" s="119"/>
    </row>
    <row r="32" spans="2:7" ht="15" customHeight="1">
      <c r="B32" s="32" t="s">
        <v>236</v>
      </c>
      <c r="D32" s="63">
        <f t="shared" si="3"/>
        <v>2</v>
      </c>
      <c r="E32" s="175" t="s">
        <v>127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3</v>
      </c>
      <c r="E35" s="175" t="s">
        <v>128</v>
      </c>
      <c r="G35" s="119"/>
    </row>
    <row r="36" spans="2:7" ht="15" customHeight="1">
      <c r="B36" s="1" t="s">
        <v>151</v>
      </c>
      <c r="D36" s="64">
        <f>SUM(D37:D41)/(5*4)</f>
        <v>0.8</v>
      </c>
      <c r="E36" s="18" t="str">
        <f>IF(D36&gt;80%,"Very High",IF(D36&lt;=20%,"Very Low",IF(D36&lt;=40%,"Low",IF(D36&lt;=60%,"Medium","High"))))</f>
        <v>High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0.33333333333333331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3</v>
      </c>
      <c r="E43" s="175" t="s">
        <v>128</v>
      </c>
      <c r="F43" s="6"/>
      <c r="G43" s="119"/>
    </row>
    <row r="44" spans="2:7" ht="15" customHeight="1">
      <c r="B44" s="32" t="s">
        <v>155</v>
      </c>
      <c r="D44" s="63">
        <f t="shared" si="5"/>
        <v>1</v>
      </c>
      <c r="E44" s="175" t="s">
        <v>135</v>
      </c>
      <c r="F44" s="6"/>
      <c r="G44" s="119"/>
    </row>
    <row r="45" spans="2:7" ht="15" customHeight="1">
      <c r="B45" s="32" t="s">
        <v>156</v>
      </c>
      <c r="D45" s="63">
        <f t="shared" si="5"/>
        <v>1</v>
      </c>
      <c r="E45" s="175" t="s">
        <v>135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3</v>
      </c>
      <c r="E47" s="175" t="s">
        <v>128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0.34523809523809523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1.9047619047619047</v>
      </c>
      <c r="E54" s="175" t="s">
        <v>329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0.5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1</v>
      </c>
      <c r="E56" s="175" t="s">
        <v>135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1</v>
      </c>
      <c r="E58" s="175" t="s">
        <v>135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297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0.53428571428571436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1.8842857142857143</v>
      </c>
      <c r="E64" s="217">
        <f>AVERAGE(AVERAGE(D12:D16)/4,AVERAGE(D18:D22)/4,AVERAGE(D24:D28)/4,D62)</f>
        <v>0.47107142857142859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2023-09-06T03:48:03Z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