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667510CA-65D6-40AC-AE71-F3613D6A5393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5" i="2" l="1"/>
  <c r="G35" i="2"/>
  <c r="H35" i="2"/>
  <c r="I35" i="2"/>
  <c r="J35" i="2"/>
  <c r="K35" i="2"/>
  <c r="L35" i="2"/>
  <c r="M35" i="2"/>
  <c r="I19" i="7" l="1"/>
  <c r="I16" i="7"/>
  <c r="C37" i="1"/>
  <c r="C45" i="4"/>
  <c r="C29" i="4"/>
  <c r="H8" i="7"/>
  <c r="H14" i="7" l="1"/>
  <c r="F9" i="2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H9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E10" i="4"/>
  <c r="E11" i="4" s="1"/>
  <c r="E12" i="4" s="1"/>
  <c r="D10" i="4"/>
  <c r="F3" i="4"/>
  <c r="E31" i="4"/>
  <c r="I18" i="7"/>
  <c r="H20" i="7"/>
  <c r="H19" i="7" s="1"/>
  <c r="D11" i="4" l="1"/>
  <c r="G11" i="4" s="1"/>
  <c r="D35" i="4"/>
  <c r="D36" i="4" s="1"/>
  <c r="F27" i="4"/>
  <c r="H23" i="7"/>
  <c r="E7" i="4" s="1"/>
  <c r="F31" i="4"/>
  <c r="I20" i="7"/>
  <c r="D37" i="4" l="1"/>
  <c r="D12" i="4"/>
  <c r="D38" i="4"/>
  <c r="G38" i="4" s="1"/>
  <c r="I25" i="7"/>
  <c r="F4" i="4"/>
  <c r="H25" i="7"/>
  <c r="F8" i="4"/>
  <c r="F28" i="4" s="1"/>
  <c r="F32" i="4" s="1"/>
  <c r="F33" i="4" s="1"/>
  <c r="F34" i="4" s="1"/>
  <c r="D39" i="4" l="1"/>
  <c r="F5" i="4"/>
  <c r="F10" i="4"/>
  <c r="F9" i="4"/>
  <c r="F11" i="4" l="1"/>
  <c r="F12" i="4" s="1"/>
  <c r="F35" i="4"/>
  <c r="F36" i="4" s="1"/>
  <c r="F37" i="4" s="1"/>
  <c r="F38" i="4"/>
  <c r="F39" i="4" s="1"/>
  <c r="J18" i="1" l="1"/>
  <c r="H18" i="1"/>
  <c r="E27" i="4"/>
  <c r="E4" i="4"/>
  <c r="E35" i="4" s="1"/>
  <c r="E36" i="4" s="1"/>
  <c r="E5" i="4" l="1"/>
  <c r="E37" i="4"/>
  <c r="E8" i="4"/>
  <c r="E38" i="4"/>
  <c r="G2" i="4"/>
  <c r="G26" i="4" s="1"/>
  <c r="E9" i="4" l="1"/>
  <c r="G9" i="4" s="1"/>
  <c r="E28" i="4"/>
  <c r="E32" i="4" l="1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<sst xmlns="http://schemas.openxmlformats.org/spreadsheetml/2006/main" count="483" uniqueCount="415">
  <si>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</si>
  <si>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</si>
  <si>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</si>
  <si>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</si>
  <si>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</si>
  <si>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</si>
  <si>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</si>
  <si>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</si>
  <si>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</si>
  <si>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</si>
  <si>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</si>
  <si>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</si>
  <si>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</si>
  <si>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</si>
  <si>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</si>
  <si>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</si>
  <si>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</si>
  <si>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</si>
  <si>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</si>
  <si>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</si>
  <si>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</si>
  <si>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</si>
  <si>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</si>
  <si>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</si>
  <si>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</si>
  <si>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</si>
  <si>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</si>
  <si>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</si>
  <si>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</si>
  <si>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</si>
  <si>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</si>
  <si>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</si>
  <si>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</si>
  <si>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</si>
  <si>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</si>
  <si>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</si>
  <si>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</si>
  <si>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</si>
  <si>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</si>
  <si>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</si>
  <si>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</si>
  <si>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</si>
  <si>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</si>
  <si>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</si>
  <si>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</si>
  <si>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</si>
  <si>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</si>
  <si>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</si>
  <si>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</si>
  <si>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</si>
  <si>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</si>
  <si>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</si>
  <si>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</si>
  <si>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</si>
  <si>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</si>
  <si>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</si>
  <si>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</si>
  <si>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</si>
  <si>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</si>
  <si>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</si>
  <si>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</si>
  <si>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</si>
  <si>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</si>
  <si>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</si>
  <si>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</si>
  <si>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</si>
  <si>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</si>
  <si>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</si>
  <si>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</si>
  <si>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</si>
  <si>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</si>
  <si>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</si>
  <si>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</si>
  <si>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</si>
  <si>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</si>
  <si>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</si>
  <si>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</si>
  <si>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</si>
  <si>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</si>
  <si>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</si>
  <si>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</si>
  <si>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</si>
  <si>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</si>
  <si>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</si>
  <si>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</si>
  <si>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</si>
  <si>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</si>
  <si>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</si>
  <si>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</si>
  <si>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</si>
  <si>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</si>
  <si>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</si>
  <si>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</si>
  <si>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</si>
  <si>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</si>
  <si>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</si>
  <si>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</si>
  <si>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</si>
  <si>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</si>
  <si>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</si>
  <si>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</si>
  <si>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</si>
  <si>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</si>
  <si>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</si>
  <si>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</si>
  <si>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</si>
  <si>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</si>
  <si>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</si>
  <si>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</si>
  <si>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</si>
  <si>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</si>
  <si>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</si>
  <si>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</si>
  <si>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</si>
  <si>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</si>
  <si>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</si>
  <si>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</si>
  <si>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</si>
  <si>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</si>
  <si>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</si>
  <si>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</si>
  <si>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</si>
  <si>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</si>
  <si>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</si>
  <si>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</si>
  <si>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</si>
  <si>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</si>
  <si>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</si>
  <si>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</si>
  <si>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</si>
  <si>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</si>
  <si>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</si>
  <si>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</si>
  <si>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</si>
  <si>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</si>
  <si>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</si>
  <si>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</si>
  <si>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</si>
  <si>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</si>
  <si>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</si>
  <si>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</si>
  <si>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</si>
  <si>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</si>
  <si>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</si>
  <si>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</si>
  <si>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</si>
  <si>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</si>
  <si>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</si>
  <si>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</si>
  <si>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</si>
  <si>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</si>
  <si>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</si>
  <si>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</si>
  <si>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</si>
  <si>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</si>
  <si>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</si>
  <si>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</si>
  <si>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</si>
  <si>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</si>
  <si>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</si>
  <si>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</si>
  <si>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</si>
  <si>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</si>
  <si>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</si>
  <si>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</si>
  <si>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</si>
  <si>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</si>
  <si>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</si>
  <si>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</si>
  <si>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</si>
  <si>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</si>
  <si>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</si>
  <si>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</si>
  <si>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</si>
  <si>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</si>
  <si>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</si>
  <si>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</si>
  <si>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</si>
  <si>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</si>
  <si>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</si>
  <si>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</si>
  <si>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</si>
  <si>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</si>
  <si>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</si>
  <si>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</si>
  <si>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</si>
  <si>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</si>
  <si>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</si>
  <si>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</si>
  <si>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</si>
  <si>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</si>
  <si>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</si>
  <si>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</si>
  <si>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</si>
  <si>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</si>
  <si>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</si>
  <si>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</si>
  <si>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</si>
  <si>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</si>
  <si>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</si>
  <si>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</si>
  <si>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</si>
  <si>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</si>
  <si>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</si>
  <si>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</si>
  <si>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</si>
  <si>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</si>
  <si>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</si>
  <si>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</si>
  <si>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</si>
  <si>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</si>
  <si>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</si>
  <si>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</si>
  <si>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</si>
  <si>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</si>
  <si>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</si>
  <si>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</si>
  <si>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</si>
  <si>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</si>
  <si>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</si>
  <si>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</si>
  <si>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</si>
  <si>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</si>
  <si>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</si>
  <si>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</si>
  <si>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</si>
  <si>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</si>
  <si>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</si>
  <si>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</si>
  <si>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</si>
  <si>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</si>
  <si>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</si>
  <si>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</si>
  <si>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</si>
  <si>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</si>
  <si>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</si>
  <si>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</si>
  <si>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</si>
  <si>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</si>
  <si>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</si>
  <si>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</si>
  <si>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</si>
  <si>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</si>
  <si>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</si>
  <si>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</si>
  <si>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</si>
  <si>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</si>
  <si>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</si>
  <si>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</si>
  <si>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</si>
  <si>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</si>
  <si>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</si>
  <si>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</si>
  <si>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</si>
  <si>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</si>
  <si>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</si>
  <si>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</si>
  <si>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</si>
  <si>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</si>
  <si>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</si>
  <si>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</si>
  <si>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</si>
  <si>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</si>
  <si>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</si>
  <si>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</si>
  <si>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</si>
  <si>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</si>
  <si>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</si>
  <si>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</si>
  <si>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</si>
  <si>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</si>
  <si>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</si>
  <si>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</si>
  <si>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</si>
  <si>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</si>
  <si>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</si>
  <si>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</si>
  <si>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</si>
  <si>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</si>
  <si>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</si>
  <si>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</si>
  <si>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</si>
  <si>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</si>
  <si>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</si>
  <si>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</si>
  <si>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</si>
  <si>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</si>
  <si>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</si>
  <si>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</si>
  <si>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</si>
  <si>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</si>
  <si>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</si>
  <si>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</si>
  <si>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</si>
  <si>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</si>
  <si>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</si>
  <si>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</si>
  <si>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</si>
  <si>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</si>
  <si>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</si>
  <si>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</si>
  <si>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</si>
  <si>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</si>
  <si>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</si>
  <si>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</si>
  <si>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</si>
  <si>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</si>
  <si>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</si>
  <si>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</si>
  <si>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</si>
  <si>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</si>
  <si>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</si>
  <si>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</si>
  <si>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</si>
  <si>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</si>
  <si>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</si>
  <si>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</si>
  <si>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</si>
  <si>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</si>
  <si>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</si>
  <si>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</si>
  <si>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</si>
  <si>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</si>
  <si>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</si>
  <si>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</si>
  <si>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</si>
  <si>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</si>
  <si>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</si>
  <si>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</si>
  <si>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</si>
  <si>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</si>
  <si>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</si>
  <si>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</si>
  <si>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</si>
  <si>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</si>
  <si>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</si>
  <si>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</si>
  <si>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</si>
  <si>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</si>
  <si>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</si>
  <si>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</si>
  <si>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</si>
  <si>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</si>
  <si>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</si>
  <si>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</si>
  <si>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</si>
  <si>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</si>
  <si>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</si>
  <si>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</si>
  <si>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</si>
  <si>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</si>
  <si>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</si>
  <si>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</si>
  <si>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</si>
  <si>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</si>
  <si>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</si>
  <si>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</si>
  <si>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</si>
  <si>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</si>
  <si>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</si>
  <si>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</si>
  <si>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</si>
  <si>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</si>
  <si>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</si>
  <si>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</si>
  <si>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</si>
  <si>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</si>
  <si>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</si>
  <si>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</si>
  <si>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</si>
  <si>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</si>
  <si>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</si>
  <si>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</si>
  <si>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</si>
  <si>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</si>
  <si>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</si>
  <si>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</si>
  <si>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</si>
  <si>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</si>
  <si>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</si>
  <si>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</si>
  <si>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</si>
  <si>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</si>
  <si>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</si>
  <si>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</si>
  <si>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</si>
  <si>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</si>
  <si>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</si>
  <si>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</si>
  <si>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</si>
  <si>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</si>
  <si>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</si>
  <si>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</si>
  <si>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</si>
  <si>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</si>
  <si>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</si>
  <si>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</si>
  <si>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</si>
  <si>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</si>
  <si>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</si>
  <si>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</si>
  <si>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</si>
  <si>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</si>
  <si>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</si>
  <si>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</si>
  <si>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</si>
  <si>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</si>
  <si>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</si>
  <si>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</si>
  <si>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</si>
  <si>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</si>
  <si>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</si>
  <si>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</si>
  <si>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</si>
  <si>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 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</si>
</sst>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13" sqref="D13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3" t="s">
        <v>397</v>
      </c>
      <c r="D3" s="334"/>
      <c r="E3" s="6"/>
      <c r="G3" s="7" t="s">
        <v>2</v>
      </c>
      <c r="I3" s="345" t="s">
        <v>3</v>
      </c>
      <c r="J3" s="345"/>
    </row>
    <row r="4" spans="1:12" ht="15.75" customHeight="1">
      <c r="B4" s="5" t="s">
        <v>4</v>
      </c>
      <c r="C4" s="335" t="s">
        <v>398</v>
      </c>
      <c r="D4" s="336"/>
      <c r="E4" s="6"/>
      <c r="G4" s="5" t="s">
        <v>5</v>
      </c>
      <c r="I4" s="221">
        <v>8.9700000000000006</v>
      </c>
      <c r="J4" s="222" t="s">
        <v>6</v>
      </c>
      <c r="K4" s="92"/>
    </row>
    <row r="5" spans="1:12" ht="15.75" customHeight="1">
      <c r="B5" s="5" t="s">
        <v>7</v>
      </c>
      <c r="C5" s="337">
        <v>44956</v>
      </c>
      <c r="D5" s="336"/>
      <c r="E5" s="79" t="str">
        <f ca="1">IF(C5+30&gt;=TODAY(),"Patience Premium","")</f>
        <v/>
      </c>
      <c r="G5" s="5" t="s">
        <v>8</v>
      </c>
      <c r="I5" s="346">
        <v>8171879936</v>
      </c>
      <c r="J5" s="346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47">
        <f>I4*I5/1000000</f>
        <v>73301.763025919994</v>
      </c>
      <c r="J6" s="347"/>
      <c r="K6" s="91"/>
    </row>
    <row r="7" spans="1:12" ht="15.75" customHeight="1">
      <c r="B7" s="86" t="s">
        <v>10</v>
      </c>
      <c r="C7" s="218">
        <f>(Data!C42*Exchange_Rate)/I4</f>
        <v>4.1659120789771388E-2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12.780593184135848</v>
      </c>
      <c r="J9" s="166">
        <f>IF(I9="NNI","NNI",1/I9)</f>
        <v>7.8243629665113584E-2</v>
      </c>
    </row>
    <row r="10" spans="1:12" ht="15.75" customHeight="1">
      <c r="B10" s="3" t="s">
        <v>226</v>
      </c>
      <c r="C10" s="122" t="s">
        <v>406</v>
      </c>
      <c r="D10" s="122">
        <v>3.814E-2</v>
      </c>
      <c r="E10" s="5"/>
      <c r="G10" s="85" t="s">
        <v>329</v>
      </c>
      <c r="H10" s="84"/>
      <c r="I10" s="165">
        <f>I4/(Data!C29*I12*Data!C4/Common_Shares)</f>
        <v>0.46326518975369263</v>
      </c>
      <c r="J10" s="223">
        <f>I4/(Data!C7*Data!C4/Common_Shares*Exchange_Rate)</f>
        <v>4.71267474736492</v>
      </c>
    </row>
    <row r="11" spans="1:12" ht="15.75" customHeight="1" thickBot="1">
      <c r="B11" s="124" t="s">
        <v>227</v>
      </c>
      <c r="C11" s="358">
        <f ca="1">C12-D10</f>
        <v>2.1859999999999997E-2</v>
      </c>
      <c r="D11" s="359"/>
      <c r="E11" s="13"/>
      <c r="G11" s="5" t="s">
        <v>14</v>
      </c>
      <c r="H11" s="6"/>
      <c r="I11" s="345" t="s">
        <v>6</v>
      </c>
      <c r="J11" s="345"/>
    </row>
    <row r="12" spans="1:12" ht="15.75" customHeight="1" thickTop="1">
      <c r="B12" s="125" t="s">
        <v>124</v>
      </c>
      <c r="C12" s="356">
        <f ca="1">IF(C10="CN",8%,6%)*IF($C$5+30&gt;=TODAY(),1.2,1)</f>
        <v>0.06</v>
      </c>
      <c r="D12" s="357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9.6040982296734718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8.9700000000000006</v>
      </c>
      <c r="C16" s="370">
        <v>0.2</v>
      </c>
      <c r="D16" s="238">
        <f ca="1">I37/B16-(1+C16)</f>
        <v>-1.5677103178848739E-2</v>
      </c>
      <c r="E16" s="351" t="s">
        <v>21</v>
      </c>
      <c r="F16" s="348">
        <f>(Val_Models!G16)*Exchange_Rate</f>
        <v>5.5897792234107548</v>
      </c>
      <c r="G16" s="351" t="s">
        <v>22</v>
      </c>
      <c r="H16" s="239">
        <f>B16-$F$16</f>
        <v>3.3802207765892458</v>
      </c>
      <c r="I16" s="364">
        <v>0.42</v>
      </c>
      <c r="J16" s="166">
        <f>I16/B16</f>
        <v>4.6822742474916385E-2</v>
      </c>
    </row>
    <row r="17" spans="1:10" ht="15.75" customHeight="1">
      <c r="B17" s="116">
        <f ca="1">MIN((I37+I38)/2,I37/(1+C16), IF(J20=0,E14,I37/(1+C16)))</f>
        <v>8.8528136537381066</v>
      </c>
      <c r="C17" s="371"/>
      <c r="D17" s="149">
        <f ca="1">I37/B17-(1+C16)</f>
        <v>0</v>
      </c>
      <c r="E17" s="352"/>
      <c r="F17" s="349"/>
      <c r="G17" s="352"/>
      <c r="H17" s="236">
        <f ca="1">B17-$F$16</f>
        <v>3.2630344303273517</v>
      </c>
      <c r="I17" s="365"/>
      <c r="J17" s="149">
        <f ca="1">I16/B17</f>
        <v>4.7442543854140054E-2</v>
      </c>
    </row>
    <row r="18" spans="1:10" ht="15.75" customHeight="1">
      <c r="B18" s="129">
        <f>C37</f>
        <v>8.1999999999999993</v>
      </c>
      <c r="C18" s="372"/>
      <c r="D18" s="237">
        <f ca="1">I37/B18-(1+C16)</f>
        <v>9.5533705425088877E-2</v>
      </c>
      <c r="E18" s="353"/>
      <c r="F18" s="350"/>
      <c r="G18" s="353"/>
      <c r="H18" s="98">
        <f>B18-$F$16</f>
        <v>2.6102207765892445</v>
      </c>
      <c r="I18" s="366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413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0" t="s">
        <v>399</v>
      </c>
      <c r="D21" s="341"/>
      <c r="E21" s="342"/>
      <c r="F21" s="342"/>
      <c r="G21" s="342"/>
      <c r="H21" s="342"/>
      <c r="I21" s="342"/>
      <c r="J21" s="342"/>
    </row>
    <row r="22" spans="1:10" ht="52.5" customHeight="1">
      <c r="A22" s="6"/>
      <c r="B22" s="19" t="s">
        <v>25</v>
      </c>
      <c r="C22" s="355" t="s">
        <v>400</v>
      </c>
      <c r="D22" s="334"/>
      <c r="E22" s="334"/>
      <c r="F22" s="334"/>
      <c r="G22" s="355" t="s">
        <v>402</v>
      </c>
      <c r="H22" s="355"/>
      <c r="I22" s="334"/>
      <c r="J22" s="334"/>
    </row>
    <row r="23" spans="1:10" ht="52.5" customHeight="1">
      <c r="A23" s="6"/>
      <c r="B23" s="138" t="s">
        <v>26</v>
      </c>
      <c r="C23" s="343" t="s">
        <v>401</v>
      </c>
      <c r="D23" s="344"/>
      <c r="E23" s="344"/>
      <c r="F23" s="344"/>
      <c r="G23" s="343" t="s">
        <v>403</v>
      </c>
      <c r="H23" s="343"/>
      <c r="I23" s="344"/>
      <c r="J23" s="344"/>
    </row>
    <row r="24" spans="1:10" ht="52.5" customHeight="1">
      <c r="A24" s="6"/>
      <c r="B24" s="19" t="s">
        <v>292</v>
      </c>
      <c r="C24" s="318" t="s">
        <v>404</v>
      </c>
      <c r="D24" s="318"/>
      <c r="E24" s="318"/>
      <c r="F24" s="318"/>
      <c r="G24" s="318"/>
      <c r="H24" s="318"/>
      <c r="I24" s="318"/>
      <c r="J24" s="318"/>
    </row>
    <row r="25" spans="1:10" ht="52.5" customHeight="1">
      <c r="A25" s="6"/>
      <c r="B25" s="138" t="s">
        <v>291</v>
      </c>
      <c r="C25" s="319" t="s">
        <v>405</v>
      </c>
      <c r="D25" s="319"/>
      <c r="E25" s="319"/>
      <c r="F25" s="319"/>
      <c r="G25" s="319"/>
      <c r="H25" s="319"/>
      <c r="I25" s="319"/>
      <c r="J25" s="31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38">
        <v>44988</v>
      </c>
      <c r="D28" s="339"/>
      <c r="E28" s="369" t="str">
        <f>IF(C28="","","Action_Planning")</f>
        <v>Action_Planning</v>
      </c>
      <c r="F28" s="369"/>
      <c r="G28" s="369"/>
      <c r="H28" s="369"/>
      <c r="I28" s="354" t="s">
        <v>30</v>
      </c>
      <c r="J28" s="354"/>
    </row>
    <row r="29" spans="1:10" ht="15.75" customHeight="1">
      <c r="B29" s="18" t="s">
        <v>31</v>
      </c>
      <c r="C29" s="363">
        <f>C33/D27</f>
        <v>0.28909090909090907</v>
      </c>
      <c r="D29" s="362"/>
      <c r="E29" s="361">
        <f>E33/D27</f>
        <v>0.24848484848484848</v>
      </c>
      <c r="F29" s="362"/>
      <c r="G29" s="368">
        <f>G33/D27</f>
        <v>0</v>
      </c>
      <c r="H29" s="368"/>
      <c r="I29" s="367">
        <f>C29+E29+G29</f>
        <v>0.5375757575757576</v>
      </c>
      <c r="J29" s="367"/>
    </row>
    <row r="30" spans="1:10" ht="15.75" customHeight="1">
      <c r="B30" s="18" t="s">
        <v>32</v>
      </c>
      <c r="C30" s="346">
        <v>20000</v>
      </c>
      <c r="D30" s="336"/>
      <c r="E30" s="346">
        <v>20000</v>
      </c>
      <c r="F30" s="336"/>
      <c r="G30" s="346"/>
      <c r="H30" s="346"/>
      <c r="I30" s="373">
        <f>C30+E30+G30</f>
        <v>40000</v>
      </c>
      <c r="J30" s="373"/>
    </row>
    <row r="31" spans="1:10" ht="15.75" customHeight="1">
      <c r="B31" s="18" t="s">
        <v>33</v>
      </c>
      <c r="C31" s="360">
        <v>9.5399999999999991</v>
      </c>
      <c r="D31" s="336"/>
      <c r="E31" s="360">
        <v>8.1999999999999993</v>
      </c>
      <c r="F31" s="336"/>
      <c r="G31" s="360"/>
      <c r="H31" s="360"/>
      <c r="I31" s="327"/>
      <c r="J31" s="327"/>
    </row>
    <row r="32" spans="1:10" ht="15.75" customHeight="1">
      <c r="B32" s="18" t="s">
        <v>34</v>
      </c>
      <c r="C32" s="325">
        <f>C31*$I$5/1000000</f>
        <v>77959.734589439991</v>
      </c>
      <c r="D32" s="362"/>
      <c r="E32" s="325">
        <f>E31*$I$5/1000000</f>
        <v>67009.415475200003</v>
      </c>
      <c r="F32" s="362"/>
      <c r="G32" s="325">
        <f>G31*$I$5/1000000</f>
        <v>0</v>
      </c>
      <c r="H32" s="325"/>
      <c r="I32" s="327"/>
      <c r="J32" s="327"/>
    </row>
    <row r="33" spans="2:11" ht="15.75" customHeight="1">
      <c r="B33" s="2" t="s">
        <v>35</v>
      </c>
      <c r="C33" s="326">
        <f>C30*C31</f>
        <v>190799.99999999997</v>
      </c>
      <c r="D33" s="375"/>
      <c r="E33" s="326">
        <f>E30*E31</f>
        <v>164000</v>
      </c>
      <c r="F33" s="375"/>
      <c r="G33" s="326">
        <f>G30*G31</f>
        <v>0</v>
      </c>
      <c r="H33" s="326"/>
      <c r="I33" s="326">
        <f>C33+E33+G33</f>
        <v>354800</v>
      </c>
      <c r="J33" s="326"/>
    </row>
    <row r="34" spans="2:11" ht="15.75" customHeight="1">
      <c r="B34" s="1" t="s">
        <v>36</v>
      </c>
      <c r="C34" s="327"/>
      <c r="D34" s="330"/>
      <c r="E34" s="329">
        <f>IF(C33=0,"-",(C33+E33)/(C30+E30))</f>
        <v>8.8699999999999992</v>
      </c>
      <c r="F34" s="362"/>
      <c r="G34" s="78"/>
      <c r="H34" s="78"/>
      <c r="I34" s="329">
        <f>IF(I33=0,"",I33/I30)</f>
        <v>8.8699999999999992</v>
      </c>
      <c r="J34" s="329"/>
    </row>
    <row r="35" spans="2:11" ht="15.75" customHeight="1">
      <c r="B35" s="1" t="s">
        <v>37</v>
      </c>
      <c r="C35" s="331"/>
      <c r="D35" s="332"/>
      <c r="E35" s="328">
        <f>IF(E34="-","-",E34*$I$5/1000000)</f>
        <v>72484.57503231999</v>
      </c>
      <c r="F35" s="374"/>
      <c r="G35" s="230"/>
      <c r="H35" s="230"/>
      <c r="I35" s="328">
        <f>IF(I34="","",I34*$I$5/1000000)</f>
        <v>72484.57503231999</v>
      </c>
      <c r="J35" s="328"/>
    </row>
    <row r="36" spans="2:11" ht="15.75" customHeight="1"/>
    <row r="37" spans="2:11" ht="15.75" customHeight="1">
      <c r="B37" s="87" t="s">
        <v>256</v>
      </c>
      <c r="C37" s="323">
        <f>E31</f>
        <v>8.1999999999999993</v>
      </c>
      <c r="D37" s="324"/>
      <c r="E37" s="79" t="str">
        <f ca="1">IF(C37&gt;B17,"Caution! &gt; Breakeven price!","")</f>
        <v/>
      </c>
      <c r="F37" s="6"/>
      <c r="G37" s="320" t="s">
        <v>315</v>
      </c>
      <c r="H37" s="320"/>
      <c r="I37" s="321">
        <f ca="1">Val_Models!C46</f>
        <v>10.623376384485727</v>
      </c>
      <c r="J37" s="322"/>
    </row>
    <row r="38" spans="2:11" ht="15.75" customHeight="1">
      <c r="B38" s="87" t="s">
        <v>281</v>
      </c>
      <c r="C38" s="323">
        <f>E34</f>
        <v>8.8699999999999992</v>
      </c>
      <c r="D38" s="324"/>
      <c r="E38" s="6"/>
      <c r="F38" s="6"/>
      <c r="G38" s="320" t="s">
        <v>280</v>
      </c>
      <c r="H38" s="320"/>
      <c r="I38" s="321">
        <f ca="1">Val_Models!C47</f>
        <v>8.4553487215027712</v>
      </c>
      <c r="J38" s="32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0.11356146587900717</v>
      </c>
      <c r="F47" s="171">
        <f ca="1">I37/C38-1</f>
        <v>0.19767490242229169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-0.11369510256784365</v>
      </c>
      <c r="F48" s="171">
        <f ca="1">Val_Models!C47/C38-1</f>
        <v>-4.6747607496869015E-2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0.64911709174377064</v>
      </c>
      <c r="F50" s="171">
        <f ca="1">IF(F47&lt;=0,0,AVERAGE(F41:F44,0.5*(1+F47+F48-C16)))</f>
        <v>0.66422318490519661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0.99882460470312051</v>
      </c>
      <c r="F51" s="234">
        <f ca="1">IF(F48&gt;=0,100,F47/ABS(F48))</f>
        <v>4.2285565616493042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104.40290195384338</v>
      </c>
      <c r="F52" s="232">
        <f ca="1">MAX(C16*2.5/F47,1)+IF(F47&lt;C16,100,0)+IF(D18&lt;0,100,0)+IF(J20=1,2/(1+F47+F48-C16),0)</f>
        <v>102.52940557386417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2.8526148838746565E-3</v>
      </c>
      <c r="F53" s="217">
        <f ca="1">MIN(MAX(F50-ABS((1-F50)/F51),0)/F52,H53)</f>
        <v>5.7038878086289871E-3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394</v>
      </c>
    </row>
    <row r="65" spans="2:2" ht="15.75" customHeight="1">
      <c r="B65" s="3" t="s">
        <v>396</v>
      </c>
    </row>
    <row r="66" spans="2:2" ht="15.75" customHeight="1">
      <c r="B66" s="3" t="s">
        <v>395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3" zoomScaleNormal="100" workbookViewId="0">
      <selection activeCell="D35" sqref="D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374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349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341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368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343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358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370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376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375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3.9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3.9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347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346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3.9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388</v>
      </c>
      <c r="G23" s="6"/>
      <c r="H23" s="6"/>
      <c r="I23" s="6"/>
    </row>
    <row r="24" spans="2:10" ht="15" customHeight="1">
      <c r="B24" s="41" t="s">
        <v>378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386</v>
      </c>
      <c r="I24" s="312">
        <f>I11+I12+I13</f>
        <v>3966626.6229999997</v>
      </c>
    </row>
    <row r="25" spans="2:10" ht="15" customHeight="1">
      <c r="B25" s="41" t="s">
        <v>382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389</v>
      </c>
      <c r="I25" s="184">
        <f>E28/I28</f>
        <v>4.0755248285352721</v>
      </c>
    </row>
    <row r="26" spans="2:10" ht="15" customHeight="1">
      <c r="B26" s="41" t="s">
        <v>380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381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3.9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348</v>
      </c>
      <c r="I33" s="179">
        <v>0</v>
      </c>
      <c r="J33" s="6"/>
    </row>
    <row r="34" spans="2:10" ht="13.9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3.9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3.9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379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387</v>
      </c>
      <c r="I44" s="312">
        <f>I30+I31+I32</f>
        <v>2772891.7280000001</v>
      </c>
    </row>
    <row r="45" spans="2:10" ht="15" customHeight="1">
      <c r="B45" s="41" t="s">
        <v>383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384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385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374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73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3.9">
      <c r="B57" s="37" t="s">
        <v>112</v>
      </c>
      <c r="C57" s="6"/>
      <c r="D57" s="383">
        <v>0</v>
      </c>
      <c r="E57" s="336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36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345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3.9">
      <c r="B63" s="32" t="s">
        <v>116</v>
      </c>
      <c r="C63" s="6"/>
      <c r="D63" s="373">
        <f>((Dashboard!I6*Data!C4)+D55+E53-C61-C62)</f>
        <v>12335755.662919976</v>
      </c>
      <c r="E63" s="373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tabSelected="1" topLeftCell="A2" zoomScaleNormal="100" zoomScalePageLayoutView="80" workbookViewId="0">
      <selection activeCell="B23" sqref="B23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407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408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409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410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352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351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414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342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390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391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392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393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350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353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363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354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355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356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357</v>
      </c>
      <c r="J76" s="296"/>
      <c r="K76" s="296"/>
      <c r="L76" s="296"/>
      <c r="M76" s="296"/>
    </row>
    <row r="78" spans="2:13" ht="13.15">
      <c r="B78" s="297" t="s">
        <v>362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360</v>
      </c>
      <c r="J80" s="295"/>
      <c r="K80" s="295"/>
      <c r="L80" s="295"/>
      <c r="M80" s="295"/>
    </row>
    <row r="81" spans="2:13">
      <c r="B81" s="292" t="s">
        <v>361</v>
      </c>
      <c r="J81" s="295"/>
      <c r="K81" s="295"/>
      <c r="L81" s="295"/>
      <c r="M81" s="295"/>
    </row>
    <row r="82" spans="2:13">
      <c r="B82" s="292" t="s">
        <v>359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364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365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366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367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369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371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372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373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G11" sqref="G11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C15/(Dashboard!I5/Data!C4)*Exchange_Rate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C16/(Dashboard!I5/Data!C4)*Exchange_Rate</f>
        <v>1.1985352652640835</v>
      </c>
      <c r="E16" s="52" t="s">
        <v>275</v>
      </c>
      <c r="G16" s="264">
        <f>(G15+MIN(D4,0))*Data!C$4/Dashboard!I5*Exchange_Rate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C17/(Dashboard!I5/Data!C4)*Exchange_Rate</f>
        <v>-0.82472067673315363</v>
      </c>
      <c r="E17" s="35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C18/(Dashboard!I5/Data!C4)*Exchange_Rate</f>
        <v>-9.3939904282997519E-2</v>
      </c>
      <c r="E18" s="352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0.92474876722846988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-0.28761211921757607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20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10.569185901878464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9.6040982296734718</v>
      </c>
      <c r="D44" s="262" t="str">
        <f>Dashboard!J4</f>
        <v>HKD</v>
      </c>
      <c r="E44" s="263">
        <f ca="1">(C44-G16)/C9</f>
        <v>7.5194564422566357</v>
      </c>
      <c r="F44" s="263">
        <f ca="1">C44/(Data!C29*Exchange_Rate*Data!C4/Common_Shares)</f>
        <v>0.49601386719986446</v>
      </c>
      <c r="G44" s="263">
        <f ca="1">C44/(Data!C7*Data!C4*Exchange_Rate/Common_Shares)</f>
        <v>5.0458184167440692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411</v>
      </c>
    </row>
    <row r="46" spans="1:9" ht="15.75" customHeight="1">
      <c r="B46" s="257" t="s">
        <v>314</v>
      </c>
      <c r="C46" s="258">
        <f ca="1">MIN(C45,C44)+ABS(C45-C44)*Qualitative_Analysis!E64</f>
        <v>10.623376384485727</v>
      </c>
      <c r="D46" s="256" t="str">
        <f>D45</f>
        <v>HKD</v>
      </c>
      <c r="E46" s="223">
        <f ca="1">(C46-G16)/C9</f>
        <v>9.4287261529341517</v>
      </c>
      <c r="F46" s="223">
        <f ca="1">C46/(Asset_Model!I3*Exchange_Rate*Data!C4/Common_Shares)</f>
        <v>0.54488539918349255</v>
      </c>
      <c r="G46" s="223">
        <f ca="1">C46/(Data!C7*Data!C4*Exchange_Rate/Common_Shares)</f>
        <v>5.5813286085751086</v>
      </c>
    </row>
    <row r="47" spans="1:9" ht="15.75" customHeight="1">
      <c r="B47" s="84" t="s">
        <v>280</v>
      </c>
      <c r="C47" s="259">
        <f ca="1">MAX(G41,C44)/(1+Dashboard!I14)</f>
        <v>8.4553487215027712</v>
      </c>
      <c r="D47" s="260" t="str">
        <f>D45</f>
        <v>HKD</v>
      </c>
      <c r="E47" s="224">
        <f ca="1">(C47-G16)/C9</f>
        <v>5.3676663437922976</v>
      </c>
      <c r="F47" s="224">
        <f ca="1">C47/(Asset_Model!I3*Exchange_Rate*Data!C4/Common_Shares)</f>
        <v>0.43368472476226805</v>
      </c>
      <c r="G47" s="224">
        <f ca="1">C47/(Data!C7*Data!C4*Exchange_Rate/Common_Shares)</f>
        <v>4.4422863322174324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344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412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2023-08-30T15:27:31Z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