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6CF219B-9B7F-4663-9F82-6CF0C095CD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5" i="1" l="1"/>
  <c r="F46" i="1"/>
  <c r="B18" i="1"/>
  <c r="F18" i="1" s="1"/>
  <c r="D65" i="3"/>
  <c r="C33" i="2"/>
  <c r="C34" i="2"/>
  <c r="C14" i="2"/>
  <c r="C16" i="2"/>
  <c r="C35" i="2"/>
  <c r="C6" i="4"/>
  <c r="I10" i="1"/>
  <c r="E50" i="3" s="1"/>
  <c r="D4" i="3"/>
  <c r="C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I17" i="7"/>
  <c r="I20" i="7"/>
  <c r="F4" i="4"/>
  <c r="G17" i="7"/>
  <c r="G20" i="7"/>
  <c r="E4" i="4"/>
  <c r="D7" i="4"/>
  <c r="D8" i="4"/>
  <c r="G8" i="4"/>
  <c r="G9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B15" i="1"/>
  <c r="G24" i="4"/>
  <c r="F24" i="4"/>
  <c r="G34" i="4"/>
  <c r="I16" i="7"/>
  <c r="I3" i="7"/>
  <c r="F3" i="4"/>
  <c r="G3" i="7"/>
  <c r="E3" i="4"/>
  <c r="G4" i="4"/>
  <c r="C12" i="1"/>
  <c r="C11" i="1" s="1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E18" i="5"/>
  <c r="F13" i="4"/>
  <c r="E13" i="4"/>
  <c r="E14" i="4"/>
  <c r="F14" i="4"/>
  <c r="E5" i="5"/>
  <c r="D9" i="4"/>
  <c r="D10" i="4"/>
  <c r="E27" i="4"/>
  <c r="E25" i="4"/>
  <c r="E26" i="4"/>
  <c r="G12" i="4"/>
  <c r="C10" i="4"/>
  <c r="E32" i="1" l="1"/>
  <c r="E33" i="1" s="1"/>
  <c r="D6" i="3"/>
  <c r="D49" i="3"/>
  <c r="C21" i="4"/>
  <c r="D60" i="3"/>
  <c r="J10" i="1" s="1"/>
  <c r="D50" i="3"/>
  <c r="F16" i="1"/>
  <c r="G13" i="4"/>
  <c r="D13" i="4"/>
  <c r="D14" i="4" s="1"/>
  <c r="D15" i="4" s="1"/>
  <c r="C27" i="1"/>
  <c r="I27" i="1" s="1"/>
  <c r="I31" i="1"/>
  <c r="I32" i="1" s="1"/>
  <c r="I33" i="1" s="1"/>
  <c r="D7" i="3" l="1"/>
  <c r="G29" i="4" s="1"/>
  <c r="E6" i="3"/>
  <c r="G18" i="4"/>
  <c r="G19" i="4" s="1"/>
  <c r="D21" i="4"/>
  <c r="G21" i="4" s="1"/>
  <c r="G14" i="4"/>
  <c r="G15" i="4" s="1"/>
  <c r="E20" i="4" l="1"/>
  <c r="F25" i="4"/>
  <c r="G25" i="4" s="1"/>
  <c r="C30" i="4" s="1"/>
  <c r="F26" i="4"/>
  <c r="G26" i="4" s="1"/>
  <c r="C34" i="4"/>
  <c r="H16" i="1"/>
  <c r="F27" i="4"/>
  <c r="G27" i="4" s="1"/>
  <c r="E30" i="4"/>
  <c r="D14" i="1" l="1"/>
  <c r="F49" i="1" s="1"/>
  <c r="F14" i="1"/>
  <c r="I35" i="1" s="1"/>
  <c r="D30" i="4"/>
  <c r="C33" i="4"/>
  <c r="E34" i="4"/>
  <c r="F34" i="4"/>
  <c r="J18" i="1"/>
  <c r="J16" i="1"/>
  <c r="F33" i="4" l="1"/>
  <c r="E33" i="4"/>
  <c r="H14" i="1"/>
  <c r="B17" i="1" s="1"/>
  <c r="I36" i="1"/>
  <c r="F42" i="1" l="1"/>
  <c r="E49" i="1"/>
  <c r="J17" i="1"/>
  <c r="D18" i="1"/>
  <c r="F17" i="1"/>
  <c r="D16" i="1"/>
  <c r="D17" i="1"/>
  <c r="J25" i="1" s="1"/>
  <c r="D49" i="1" l="1"/>
  <c r="E42" i="1"/>
  <c r="F48" i="1" s="1"/>
  <c r="E50" i="1" s="1"/>
  <c r="F50" i="1" s="1"/>
  <c r="C50" i="1" l="1"/>
  <c r="B50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<sst xmlns="http://schemas.openxmlformats.org/spreadsheetml/2006/main" count="416" uniqueCount="352">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</sst>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C36" sqref="C36:D36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335</v>
      </c>
      <c r="D4" s="404"/>
      <c r="E4" s="6"/>
      <c r="G4" s="5" t="s">
        <v>5</v>
      </c>
      <c r="I4" s="32">
        <v>1.75</v>
      </c>
      <c r="J4" s="33" t="s">
        <v>6</v>
      </c>
      <c r="K4" s="152"/>
    </row>
    <row r="5" spans="1:12" ht="15.75" customHeight="1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2333.3283750000001</v>
      </c>
      <c r="J6" s="416"/>
      <c r="K6" s="151"/>
    </row>
    <row r="7" spans="1:12" ht="15.75" customHeight="1">
      <c r="B7" s="139" t="s">
        <v>10</v>
      </c>
      <c r="C7" s="145">
        <f>(Data!C39*Exchange_Rate)/I4</f>
        <v>2.832600481885315E-2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22.489610571927528</v>
      </c>
      <c r="J9" s="48">
        <f>IF(I9="NNI","NNI",1/I9)</f>
        <v>4.44649762521118E-2</v>
      </c>
    </row>
    <row r="10" spans="1:12" ht="15.75" customHeight="1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0.75719911949856356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>MIN('FCFF Model'!C30,'FCFF Model'!E30)</f>
        <v>1.772812009880244</v>
      </c>
      <c r="E14" s="127" t="s">
        <v>227</v>
      </c>
      <c r="F14" s="184">
        <f>MAX('FCFF Model'!C30,'FCFF Model'!E30)</f>
        <v>2.0092344760046403</v>
      </c>
      <c r="G14" s="185" t="s">
        <v>24</v>
      </c>
      <c r="H14" s="193">
        <f>IF('FCFF Model'!C33&lt;0, "Error", 'FCFF Model'!C33)</f>
        <v>1.8813813879464165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1.75</v>
      </c>
      <c r="C16" s="389">
        <v>0.1</v>
      </c>
      <c r="D16" s="159">
        <f>IF(B17='FCFF Model'!G29,"Net Asset", H14/B16-1-C16)</f>
        <v>-2.492492117347625E-2</v>
      </c>
      <c r="E16" s="384">
        <f>'FCFF Model'!D11*Exchange_Rate</f>
        <v>0.24785060723622637</v>
      </c>
      <c r="F16" s="161">
        <f>E16/B16</f>
        <v>0.14162891842070077</v>
      </c>
      <c r="G16" s="392" t="s">
        <v>25</v>
      </c>
      <c r="H16" s="417">
        <f>('FCFF Model'!G19)*Exchange_Rate</f>
        <v>2.0092344760046403</v>
      </c>
      <c r="I16" s="392" t="s">
        <v>26</v>
      </c>
      <c r="J16" s="206">
        <f>B16-$H$16</f>
        <v>-0.25923447600464034</v>
      </c>
    </row>
    <row r="17" spans="1:10" ht="15.75" customHeight="1">
      <c r="B17" s="289">
        <f>MAX(H14/(1+C16),'FCFF Model'!G29)</f>
        <v>1.710346716314924</v>
      </c>
      <c r="C17" s="390"/>
      <c r="D17" s="288">
        <f>IF(B17='FCFF Model'!G29,"Net Asset",H14/B17-1-C16)</f>
        <v>8.3266726846886741E-17</v>
      </c>
      <c r="E17" s="385"/>
      <c r="F17" s="162">
        <f>E16/B17</f>
        <v>0.14491249339797016</v>
      </c>
      <c r="G17" s="393"/>
      <c r="H17" s="418"/>
      <c r="I17" s="393"/>
      <c r="J17" s="205">
        <f>B17-$H$16</f>
        <v>-0.29888775968971637</v>
      </c>
    </row>
    <row r="18" spans="1:10" ht="15.75" customHeight="1">
      <c r="B18" s="355">
        <f>C35</f>
        <v>1.62</v>
      </c>
      <c r="C18" s="391"/>
      <c r="D18" s="160">
        <f>IF(B17='FCFF Model'!G29,"NA: "&amp;ROUND('FCFF Model'!G29/B18-1,2)*100&amp;"%", H14/B18-1-C16)</f>
        <v>6.1346535769392835E-2</v>
      </c>
      <c r="E18" s="386"/>
      <c r="F18" s="163">
        <f>E16/B18</f>
        <v>0.15299420199767058</v>
      </c>
      <c r="G18" s="394"/>
      <c r="H18" s="419"/>
      <c r="I18" s="394"/>
      <c r="J18" s="207">
        <f>B18-$H$16</f>
        <v>-0.38923447600464023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1.5051051103571331</v>
      </c>
    </row>
    <row r="26" spans="1:10" ht="15.75" customHeight="1">
      <c r="B26" s="23" t="s">
        <v>33</v>
      </c>
      <c r="C26" s="406">
        <v>44932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0.11666666666666667</v>
      </c>
      <c r="D27" s="382"/>
      <c r="E27" s="381">
        <f>E31/D25</f>
        <v>5.4000000000000006E-2</v>
      </c>
      <c r="F27" s="382"/>
      <c r="G27" s="396">
        <f>G31/D25</f>
        <v>7.5999999999999998E-2</v>
      </c>
      <c r="H27" s="397"/>
      <c r="I27" s="395">
        <f>C27+E27+G27</f>
        <v>0.2466666666666667</v>
      </c>
      <c r="J27" s="395"/>
    </row>
    <row r="28" spans="1:10" ht="15.75" customHeight="1">
      <c r="B28" s="23" t="s">
        <v>36</v>
      </c>
      <c r="C28" s="372">
        <v>40000</v>
      </c>
      <c r="D28" s="422"/>
      <c r="E28" s="372">
        <v>20000</v>
      </c>
      <c r="F28" s="422"/>
      <c r="G28" s="413">
        <v>30000</v>
      </c>
      <c r="H28" s="414"/>
      <c r="I28" s="437">
        <f>C28+E28+G28</f>
        <v>90000</v>
      </c>
      <c r="J28" s="437"/>
    </row>
    <row r="29" spans="1:10" ht="15.75" customHeight="1">
      <c r="B29" s="23" t="s">
        <v>37</v>
      </c>
      <c r="C29" s="447">
        <v>1.75</v>
      </c>
      <c r="D29" s="422"/>
      <c r="E29" s="447">
        <v>1.62</v>
      </c>
      <c r="F29" s="422"/>
      <c r="G29" s="427">
        <v>1.52</v>
      </c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2026.66236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70000</v>
      </c>
      <c r="D31" s="444"/>
      <c r="E31" s="436">
        <f>E28*E29</f>
        <v>32400.000000000004</v>
      </c>
      <c r="F31" s="445"/>
      <c r="G31" s="431">
        <f>G28*G29</f>
        <v>45600</v>
      </c>
      <c r="H31" s="432"/>
      <c r="I31" s="436">
        <f>C31+E31+G31</f>
        <v>148000</v>
      </c>
      <c r="J31" s="436"/>
    </row>
    <row r="32" spans="1:10" ht="15.75" customHeight="1">
      <c r="B32" s="1" t="s">
        <v>40</v>
      </c>
      <c r="C32" s="438"/>
      <c r="D32" s="439"/>
      <c r="E32" s="446">
        <f>IF(C31=0,"-",(C31+E31)/(C28+E28))</f>
        <v>1.7066666666666668</v>
      </c>
      <c r="F32" s="382"/>
      <c r="G32" s="117"/>
      <c r="H32" s="117"/>
      <c r="I32" s="446">
        <f>IF(I31=0,"",I31/I28)</f>
        <v>1.6444444444444444</v>
      </c>
      <c r="J32" s="446"/>
    </row>
    <row r="33" spans="2:11" ht="15.75" customHeight="1">
      <c r="B33" s="1" t="s">
        <v>41</v>
      </c>
      <c r="C33" s="440"/>
      <c r="D33" s="441"/>
      <c r="E33" s="435">
        <f>IF(E32="-","-",E32*$I$5/1000000)</f>
        <v>2275.5507200000002</v>
      </c>
      <c r="F33" s="442"/>
      <c r="G33" s="118"/>
      <c r="H33" s="118"/>
      <c r="I33" s="435">
        <f>IF(I32="","",I32*$I$5/1000000)</f>
        <v>2192.5879333333332</v>
      </c>
      <c r="J33" s="435"/>
    </row>
    <row r="34" spans="2:11" ht="15.75" customHeight="1"/>
    <row r="35" spans="2:11" ht="15.75" customHeight="1">
      <c r="B35" s="146" t="s">
        <v>309</v>
      </c>
      <c r="C35" s="370">
        <v>1.62</v>
      </c>
      <c r="D35" s="371"/>
      <c r="G35" s="374" t="s">
        <v>311</v>
      </c>
      <c r="H35" s="375"/>
      <c r="I35" s="370">
        <f>F14</f>
        <v>2.0092344760046403</v>
      </c>
      <c r="J35" s="371"/>
    </row>
    <row r="36" spans="2:11" ht="15.75" customHeight="1">
      <c r="B36" s="146" t="s">
        <v>310</v>
      </c>
      <c r="C36" s="372">
        <f>E28</f>
        <v>20000</v>
      </c>
      <c r="D36" s="373"/>
      <c r="G36" s="376" t="s">
        <v>321</v>
      </c>
      <c r="H36" s="376"/>
      <c r="I36" s="377">
        <f>IF(C26="",0,I35/C29-1)</f>
        <v>0.14813398628836594</v>
      </c>
      <c r="J36" s="378"/>
    </row>
    <row r="37" spans="2:11" ht="15.75" customHeight="1"/>
    <row r="38" spans="2:11" ht="15.75" customHeight="1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>
      <c r="B42" s="3" t="s">
        <v>351</v>
      </c>
      <c r="E42" s="358">
        <f>IF(F42="Strongly disagree",0,IF(F42="disagree",1,IF(F42="So-so",2,IF(F42="agree",3,4))))/4</f>
        <v>0.75</v>
      </c>
      <c r="F42" s="102" t="str">
        <f>IF(F45&lt;D10,"Strongly Disagree",IF(F45&lt;10%,"Disagree",IF(F45&gt;=30%,"Strongly Agree",IF(F45&gt;=20%,"Agree","So-so"))))</f>
        <v>Agree</v>
      </c>
      <c r="G42" s="74" t="s">
        <v>326</v>
      </c>
      <c r="H42" s="74"/>
      <c r="I42" s="74"/>
      <c r="J42" s="74"/>
    </row>
    <row r="43" spans="2:11" ht="15.75" customHeight="1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327</v>
      </c>
      <c r="F45" s="365">
        <f>I35/C35-1</f>
        <v>0.24026819506459263</v>
      </c>
    </row>
    <row r="46" spans="2:11" ht="15.75" customHeight="1">
      <c r="B46" s="3" t="s">
        <v>328</v>
      </c>
      <c r="F46" s="365">
        <f>D14/C29-1</f>
        <v>1.303543421728226E-2</v>
      </c>
    </row>
    <row r="47" spans="2:11" ht="15.75" customHeight="1"/>
    <row r="48" spans="2:11" ht="15.75" customHeight="1">
      <c r="B48" s="3" t="s">
        <v>330</v>
      </c>
      <c r="F48" s="214">
        <f>IF(F45&lt;=0,0,AVERAGE(F39:F41,1-F43,E42))</f>
        <v>0.59784353741496599</v>
      </c>
      <c r="G48" s="74"/>
    </row>
    <row r="49" spans="2:8" ht="15.75" customHeight="1">
      <c r="B49" s="3" t="s">
        <v>329</v>
      </c>
      <c r="D49" s="367">
        <f>IF(F42="Strongly Agree",2,IF(F42="Agree",3,4))</f>
        <v>3</v>
      </c>
      <c r="E49" s="363">
        <f>F45/ABS(F46)</f>
        <v>18.431928776568657</v>
      </c>
      <c r="F49" s="360">
        <f>IF(F46&gt;=0,100,F45/ABS(F46))</f>
        <v>100</v>
      </c>
      <c r="G49" s="74"/>
    </row>
    <row r="50" spans="2:8" ht="15.75" customHeight="1">
      <c r="B50" s="368" t="str">
        <f>IF(D49=2,"⇒ 1/2 Kelly %",IF(D49=3, "⇒ 1/3 Kelly %", "⇒ 1/4 Kelly %"))</f>
        <v>⇒ 1/3 Kelly %</v>
      </c>
      <c r="C50" s="85" t="str">
        <f>" [W – (1 – W)/R] /"&amp;D49</f>
        <v xml:space="preserve"> [W – (1 – W)/R] /3</v>
      </c>
      <c r="E50" s="107">
        <f>MAX(F48-ABS((1-F48)/F49),0)/D49</f>
        <v>0.19794065759637189</v>
      </c>
      <c r="F50" s="359">
        <f>MIN(E50,H50)</f>
        <v>0.19794065759637189</v>
      </c>
      <c r="G50" s="362" t="s">
        <v>332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I26 C28:G29 I28:I29">
    <cfRule type="containsBlanks" priority="23">
      <formula>LEN(TRIM(C26))=0</formula>
    </cfRule>
  </conditionalFormatting>
  <conditionalFormatting sqref="D16 D18">
    <cfRule type="cellIs" dxfId="16" priority="19" operator="lessThan">
      <formula>0</formula>
    </cfRule>
  </conditionalFormatting>
  <conditionalFormatting sqref="E26:H26">
    <cfRule type="containsBlanks" dxfId="15" priority="7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1" operator="greaterThan">
      <formula>$B$16</formula>
    </cfRule>
  </conditionalFormatting>
  <conditionalFormatting sqref="H16">
    <cfRule type="cellIs" dxfId="12" priority="14" operator="greaterThan">
      <formula>$B$16</formula>
    </cfRule>
  </conditionalFormatting>
  <conditionalFormatting sqref="I16">
    <cfRule type="cellIs" dxfId="11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D9D11BE6-6FE7-4A85-BBA8-E0CC78C2F38B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4" sqref="I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2.3689324098066566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1.6092538651543156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>
      <c r="D8" s="6"/>
      <c r="H8" s="3" t="s">
        <v>314</v>
      </c>
      <c r="I8" s="69">
        <f>C24/I26</f>
        <v>3.2124752885050021</v>
      </c>
      <c r="K8" s="74"/>
    </row>
    <row r="9" spans="1:11" ht="15" customHeight="1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-512202.625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257</v>
      </c>
    </row>
    <row r="63" spans="2:9" ht="15" customHeight="1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3" zoomScaleNormal="100" zoomScalePageLayoutView="80" workbookViewId="0">
      <selection activeCell="E11" sqref="E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4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1.95</v>
      </c>
      <c r="I25" s="74"/>
    </row>
    <row r="26" spans="1:9" ht="15.75" customHeight="1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1.95</v>
      </c>
      <c r="I26" s="74" t="s">
        <v>300</v>
      </c>
    </row>
    <row r="27" spans="1:9" ht="15.75" customHeight="1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1.95</v>
      </c>
      <c r="I27" s="74" t="s">
        <v>299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1.6092538651543156</v>
      </c>
      <c r="H29" s="12"/>
      <c r="I29" s="90"/>
    </row>
    <row r="30" spans="1:9" ht="15.75" customHeight="1">
      <c r="A30" s="6"/>
      <c r="B30" s="71" t="s">
        <v>147</v>
      </c>
      <c r="C30" s="252">
        <f>MIN(G29,G25)+(ABS(G29-G25)*'Qualitative Analysis'!E8)</f>
        <v>1.772812009880244</v>
      </c>
      <c r="D30" s="23" t="str">
        <f>IF(C30&lt;E30,"&lt;",IF(C30=E30,"=","&gt;"))</f>
        <v>&lt;</v>
      </c>
      <c r="E30" s="251">
        <f>MAX(G26, G19*Exchange_Rate)</f>
        <v>2.0092344760046403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>MIN(C30,E30)+ABS(C30-E30)*'Qualitative Analysis'!$E$64</f>
        <v>1.8813813879464165</v>
      </c>
      <c r="D33" s="119" t="str">
        <f>Dashboard!J4</f>
        <v>HKD</v>
      </c>
      <c r="E33" s="120">
        <f>(C33-G19)/C9</f>
        <v>384.80858901754357</v>
      </c>
      <c r="F33" s="158">
        <f>C33/(Data!C28*Exchange_Rate*Data!C4/Common_Shares)</f>
        <v>0.81404590308229252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2.0092344760046403</v>
      </c>
      <c r="D34" s="208" t="str">
        <f>D33</f>
        <v>HKD</v>
      </c>
      <c r="E34" s="120">
        <f>(C34-G19)/C9</f>
        <v>887.24066559115931</v>
      </c>
      <c r="F34" s="158">
        <f>C34/(Data!C28*Exchange_Rate*Data!C4/Common_Shares)</f>
        <v>0.86936604348392654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2023-05-30T02:17:30Z</dcterms:modified>
  <cp:category/>
  <cp:contentStatus/>
</cp:coreProperties>
</file>