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36989D9-A984-4E44-9A65-C2915BB4E3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2" i="4" l="1"/>
  <c r="C35" i="1"/>
  <c r="B18" i="1" s="1"/>
  <c r="I17" i="7"/>
  <c r="G17" i="7"/>
  <c r="E17" i="7"/>
  <c r="C17" i="7"/>
  <c r="E4" i="7"/>
  <c r="E5" i="7"/>
  <c r="D11" i="2"/>
  <c r="C11" i="2"/>
  <c r="C12" i="7"/>
  <c r="E12" i="7" s="1"/>
  <c r="C8" i="7"/>
  <c r="C17" i="3"/>
  <c r="E13" i="3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C9" i="7" s="1"/>
  <c r="E9" i="7" s="1"/>
  <c r="G19" i="3"/>
  <c r="G20" i="3"/>
  <c r="G31" i="3"/>
  <c r="G33" i="3"/>
  <c r="C58" i="3" s="1"/>
  <c r="G34" i="3"/>
  <c r="G35" i="3"/>
  <c r="D53" i="3"/>
  <c r="D52" i="3" s="1"/>
  <c r="C20" i="4" s="1"/>
  <c r="D20" i="4" s="1"/>
  <c r="I15" i="7"/>
  <c r="I18" i="7"/>
  <c r="F4" i="4" s="1"/>
  <c r="G15" i="7"/>
  <c r="G18" i="7" s="1"/>
  <c r="E4" i="4" s="1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I15" i="3"/>
  <c r="C26" i="3"/>
  <c r="C42" i="3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G34" i="4"/>
  <c r="I14" i="7"/>
  <c r="I3" i="7"/>
  <c r="F3" i="4" s="1"/>
  <c r="G3" i="7"/>
  <c r="E3" i="4" s="1"/>
  <c r="B15" i="1"/>
  <c r="G24" i="4"/>
  <c r="F24" i="4"/>
  <c r="C12" i="1"/>
  <c r="D13" i="4" s="1"/>
  <c r="F43" i="1"/>
  <c r="F40" i="1"/>
  <c r="B16" i="1"/>
  <c r="C15" i="4"/>
  <c r="D65" i="3"/>
  <c r="C33" i="2" s="1"/>
  <c r="C34" i="2" s="1"/>
  <c r="E6" i="1"/>
  <c r="C3" i="7"/>
  <c r="C3" i="4" s="1"/>
  <c r="E26" i="1"/>
  <c r="C36" i="1"/>
  <c r="E7" i="3"/>
  <c r="C26" i="4"/>
  <c r="G34" i="2"/>
  <c r="H34" i="2"/>
  <c r="H35" i="2" s="1"/>
  <c r="I34" i="2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F16" i="1" s="1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/>
  <c r="F6" i="2" s="1"/>
  <c r="G6" i="2" s="1"/>
  <c r="H6" i="2" s="1"/>
  <c r="I6" i="2" s="1"/>
  <c r="J6" i="2" s="1"/>
  <c r="K6" i="2" s="1"/>
  <c r="L6" i="2" s="1"/>
  <c r="M6" i="2" s="1"/>
  <c r="C27" i="2"/>
  <c r="C44" i="2" s="1"/>
  <c r="D27" i="2"/>
  <c r="D43" i="2" s="1"/>
  <c r="E27" i="2"/>
  <c r="E43" i="2" s="1"/>
  <c r="F27" i="2"/>
  <c r="I13" i="7"/>
  <c r="I4" i="3"/>
  <c r="D6" i="1"/>
  <c r="C29" i="4"/>
  <c r="E3" i="7"/>
  <c r="D3" i="4" s="1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G8" i="7"/>
  <c r="I53" i="3"/>
  <c r="G10" i="7"/>
  <c r="G14" i="7"/>
  <c r="I16" i="7"/>
  <c r="G13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C27" i="1" s="1"/>
  <c r="G30" i="1"/>
  <c r="E30" i="1"/>
  <c r="C30" i="1"/>
  <c r="I28" i="1"/>
  <c r="I6" i="1"/>
  <c r="C2" i="1"/>
  <c r="J16" i="2"/>
  <c r="J45" i="2" s="1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E42" i="5"/>
  <c r="E30" i="5"/>
  <c r="K15" i="2"/>
  <c r="L16" i="2"/>
  <c r="L45" i="2"/>
  <c r="L15" i="2"/>
  <c r="M16" i="2"/>
  <c r="M45" i="2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I14" i="2"/>
  <c r="K13" i="2"/>
  <c r="K12" i="2"/>
  <c r="E55" i="5"/>
  <c r="C25" i="4"/>
  <c r="I16" i="2"/>
  <c r="I45" i="2"/>
  <c r="I44" i="2"/>
  <c r="E16" i="2"/>
  <c r="E45" i="2" s="1"/>
  <c r="E49" i="5"/>
  <c r="H15" i="2"/>
  <c r="I15" i="2"/>
  <c r="D15" i="2"/>
  <c r="H17" i="2"/>
  <c r="E13" i="2"/>
  <c r="E36" i="5"/>
  <c r="K17" i="2"/>
  <c r="J17" i="2"/>
  <c r="G17" i="2"/>
  <c r="I13" i="2"/>
  <c r="I12" i="2"/>
  <c r="L17" i="2"/>
  <c r="C27" i="4"/>
  <c r="E62" i="5"/>
  <c r="I17" i="2"/>
  <c r="E6" i="5"/>
  <c r="E5" i="5"/>
  <c r="I36" i="1"/>
  <c r="E32" i="1" l="1"/>
  <c r="E33" i="1" s="1"/>
  <c r="I31" i="1"/>
  <c r="I32" i="1" s="1"/>
  <c r="I33" i="1" s="1"/>
  <c r="I27" i="1"/>
  <c r="C13" i="2"/>
  <c r="C12" i="2" s="1"/>
  <c r="G16" i="7"/>
  <c r="C11" i="7"/>
  <c r="E6" i="7"/>
  <c r="F5" i="7" s="1"/>
  <c r="D4" i="7"/>
  <c r="C10" i="7"/>
  <c r="C15" i="7" s="1"/>
  <c r="C18" i="7" s="1"/>
  <c r="D5" i="7"/>
  <c r="F14" i="4"/>
  <c r="F5" i="4"/>
  <c r="F13" i="4"/>
  <c r="E13" i="4"/>
  <c r="E8" i="4"/>
  <c r="E9" i="4" s="1"/>
  <c r="E15" i="4" s="1"/>
  <c r="E5" i="4"/>
  <c r="E14" i="4"/>
  <c r="F8" i="4"/>
  <c r="F9" i="4" s="1"/>
  <c r="F15" i="4" s="1"/>
  <c r="D33" i="2"/>
  <c r="D34" i="2" s="1"/>
  <c r="E33" i="2"/>
  <c r="E34" i="2" s="1"/>
  <c r="E35" i="2" s="1"/>
  <c r="E42" i="3"/>
  <c r="D42" i="3" s="1"/>
  <c r="C46" i="3"/>
  <c r="E58" i="3"/>
  <c r="D58" i="3" s="1"/>
  <c r="E59" i="3"/>
  <c r="D59" i="3" s="1"/>
  <c r="D63" i="3"/>
  <c r="I8" i="3"/>
  <c r="I6" i="3"/>
  <c r="C25" i="3"/>
  <c r="I7" i="3" s="1"/>
  <c r="E3" i="3"/>
  <c r="E26" i="3"/>
  <c r="E24" i="3"/>
  <c r="E50" i="3"/>
  <c r="D60" i="3" s="1"/>
  <c r="F44" i="2"/>
  <c r="F16" i="2"/>
  <c r="F13" i="2"/>
  <c r="F12" i="2" s="1"/>
  <c r="E15" i="2"/>
  <c r="E12" i="2"/>
  <c r="E17" i="2"/>
  <c r="E44" i="2"/>
  <c r="D17" i="2"/>
  <c r="D45" i="2"/>
  <c r="D35" i="2"/>
  <c r="D13" i="2"/>
  <c r="D12" i="2" s="1"/>
  <c r="D44" i="2"/>
  <c r="C15" i="2"/>
  <c r="C45" i="2"/>
  <c r="F4" i="2"/>
  <c r="C35" i="2"/>
  <c r="C17" i="2"/>
  <c r="G4" i="4"/>
  <c r="B24" i="4" s="1"/>
  <c r="G2" i="4" s="1"/>
  <c r="F18" i="1"/>
  <c r="C23" i="4"/>
  <c r="B3" i="7"/>
  <c r="G13" i="4"/>
  <c r="C11" i="1"/>
  <c r="C18" i="4" l="1"/>
  <c r="D18" i="4" s="1"/>
  <c r="C21" i="4"/>
  <c r="D21" i="4" s="1"/>
  <c r="E11" i="7"/>
  <c r="E8" i="7"/>
  <c r="E10" i="7" s="1"/>
  <c r="E15" i="7" s="1"/>
  <c r="E16" i="7" s="1"/>
  <c r="E7" i="7"/>
  <c r="C4" i="4"/>
  <c r="C13" i="7"/>
  <c r="F4" i="7"/>
  <c r="E14" i="7"/>
  <c r="E18" i="7"/>
  <c r="J10" i="1"/>
  <c r="C7" i="4"/>
  <c r="C8" i="4" s="1"/>
  <c r="C9" i="4" s="1"/>
  <c r="C10" i="4" s="1"/>
  <c r="C19" i="4"/>
  <c r="D19" i="4" s="1"/>
  <c r="C45" i="3"/>
  <c r="E25" i="3"/>
  <c r="I24" i="3"/>
  <c r="J24" i="3" s="1"/>
  <c r="D24" i="3"/>
  <c r="E44" i="3"/>
  <c r="E46" i="3"/>
  <c r="D26" i="3"/>
  <c r="D50" i="3"/>
  <c r="D49" i="3"/>
  <c r="F17" i="2"/>
  <c r="F45" i="2"/>
  <c r="E13" i="7" l="1"/>
  <c r="D4" i="4"/>
  <c r="F21" i="4" s="1"/>
  <c r="D7" i="4"/>
  <c r="D8" i="4"/>
  <c r="D5" i="4"/>
  <c r="D14" i="4"/>
  <c r="G14" i="4" s="1"/>
  <c r="G21" i="4"/>
  <c r="G18" i="4"/>
  <c r="G19" i="4" s="1"/>
  <c r="E45" i="3"/>
  <c r="D44" i="3"/>
  <c r="I44" i="3"/>
  <c r="J44" i="3" s="1"/>
  <c r="D46" i="3"/>
  <c r="D6" i="3"/>
  <c r="D25" i="3"/>
  <c r="I25" i="3"/>
  <c r="J25" i="3" s="1"/>
  <c r="D9" i="4" l="1"/>
  <c r="G8" i="4"/>
  <c r="G9" i="4" s="1"/>
  <c r="H16" i="1"/>
  <c r="J16" i="1" s="1"/>
  <c r="E20" i="4"/>
  <c r="E6" i="3"/>
  <c r="D7" i="3"/>
  <c r="D45" i="3"/>
  <c r="I45" i="3"/>
  <c r="J45" i="3" s="1"/>
  <c r="J26" i="3" s="1"/>
  <c r="D18" i="5" s="1"/>
  <c r="J18" i="1" l="1"/>
  <c r="E25" i="4"/>
  <c r="F25" i="4" s="1"/>
  <c r="G25" i="4" s="1"/>
  <c r="E27" i="4"/>
  <c r="F27" i="4" s="1"/>
  <c r="G27" i="4" s="1"/>
  <c r="G12" i="4"/>
  <c r="G15" i="4" s="1"/>
  <c r="E26" i="4"/>
  <c r="F26" i="4" s="1"/>
  <c r="G26" i="4" s="1"/>
  <c r="E30" i="4" s="1"/>
  <c r="D10" i="4"/>
  <c r="D15" i="4"/>
  <c r="E64" i="5"/>
  <c r="E18" i="5"/>
  <c r="G29" i="4"/>
  <c r="C34" i="4" l="1"/>
  <c r="E34" i="4" s="1"/>
  <c r="D64" i="5"/>
  <c r="E7" i="5" s="1"/>
  <c r="D7" i="5" s="1"/>
  <c r="D8" i="5" s="1"/>
  <c r="E8" i="5" s="1"/>
  <c r="F39" i="1" s="1"/>
  <c r="F41" i="1"/>
  <c r="F34" i="4" l="1"/>
  <c r="C30" i="4"/>
  <c r="D14" i="1" l="1"/>
  <c r="F46" i="1" s="1"/>
  <c r="D30" i="4"/>
  <c r="C33" i="4"/>
  <c r="F14" i="1"/>
  <c r="I35" i="1" s="1"/>
  <c r="F45" i="1" s="1"/>
  <c r="F49" i="1" l="1"/>
  <c r="F42" i="1"/>
  <c r="E49" i="1"/>
  <c r="F33" i="4"/>
  <c r="E33" i="4"/>
  <c r="H14" i="1"/>
  <c r="B17" i="1" s="1"/>
  <c r="D18" i="1" s="1"/>
  <c r="F17" i="1" l="1"/>
  <c r="D16" i="1"/>
  <c r="D17" i="1"/>
  <c r="J25" i="1" s="1"/>
  <c r="J17" i="1"/>
  <c r="D49" i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<sst xmlns="http://schemas.openxmlformats.org/spreadsheetml/2006/main" count="414" uniqueCount="349">
  <si>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</si>
  <si>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</si>
  <si>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</si>
  <si>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</si>
  <si>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</si>
  <si>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</si>
  <si>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</si>
  <si>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</si>
  <si>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</si>
  <si>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</si>
  <si>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</si>
  <si>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</si>
  <si>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</si>
  <si>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</si>
  <si>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</si>
  <si>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</si>
  <si>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</si>
  <si>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</si>
  <si>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</si>
  <si>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</si>
  <si>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</si>
  <si>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</si>
  <si>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</si>
  <si>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</si>
  <si>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</si>
  <si>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</si>
  <si>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</si>
  <si>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</si>
  <si>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</si>
  <si>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</si>
  <si>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</si>
  <si>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</si>
  <si>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</si>
  <si>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</si>
  <si>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</si>
  <si>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</si>
  <si>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</si>
  <si>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</si>
  <si>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</si>
  <si>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</si>
  <si>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</si>
  <si>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</si>
  <si>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</si>
  <si>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</si>
  <si>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</si>
  <si>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</si>
  <si>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</si>
  <si>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</si>
  <si>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</si>
  <si>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</si>
  <si>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</si>
  <si>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</si>
  <si>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</si>
  <si>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</si>
  <si>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</si>
  <si>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</si>
  <si>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</si>
  <si>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</si>
  <si>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</si>
  <si>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</si>
  <si>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</si>
  <si>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</si>
  <si>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</si>
  <si>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</si>
  <si>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</si>
  <si>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</si>
  <si>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</si>
  <si>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</si>
  <si>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</si>
  <si>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</si>
  <si>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</si>
  <si>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</si>
  <si>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</si>
  <si>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</si>
  <si>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</si>
  <si>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</si>
  <si>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</si>
  <si>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</si>
  <si>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</si>
  <si>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</si>
  <si>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</si>
  <si>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</si>
  <si>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</si>
  <si>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</si>
  <si>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</si>
  <si>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</si>
  <si>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</si>
  <si>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</si>
  <si>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</si>
  <si>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</si>
  <si>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</si>
  <si>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</si>
  <si>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</si>
  <si>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</si>
  <si>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</si>
  <si>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</si>
  <si>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</si>
  <si>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</si>
  <si>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</si>
  <si>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</si>
  <si>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</si>
  <si>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</si>
  <si>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</si>
  <si>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</si>
  <si>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</si>
  <si>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</si>
  <si>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</si>
  <si>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</si>
  <si>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</si>
  <si>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</si>
  <si>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</si>
  <si>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</si>
  <si>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</si>
  <si>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</si>
  <si>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</si>
  <si>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</si>
  <si>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</si>
  <si>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</si>
  <si>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</si>
  <si>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</si>
  <si>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</si>
  <si>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</si>
  <si>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</si>
  <si>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</si>
  <si>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</si>
  <si>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</si>
  <si>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</si>
  <si>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</si>
  <si>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</si>
  <si>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</si>
  <si>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</si>
  <si>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</si>
  <si>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</si>
  <si>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</si>
  <si>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</si>
  <si>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</si>
  <si>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</si>
  <si>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</si>
  <si>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</si>
  <si>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</si>
  <si>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</si>
  <si>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</si>
  <si>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</si>
  <si>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</si>
  <si>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</si>
  <si>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</si>
  <si>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</si>
  <si>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</si>
  <si>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</si>
  <si>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</si>
  <si>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</si>
  <si>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</si>
  <si>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</si>
  <si>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</si>
  <si>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</si>
  <si>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</si>
  <si>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</si>
  <si>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</si>
  <si>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</si>
  <si>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</si>
  <si>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</si>
  <si>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</si>
  <si>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</si>
  <si>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</si>
  <si>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</si>
  <si>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</si>
  <si>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</si>
  <si>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</si>
  <si>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</si>
  <si>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</si>
  <si>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</si>
  <si>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</si>
  <si>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</si>
  <si>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</si>
  <si>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</si>
  <si>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</si>
  <si>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</si>
  <si>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</si>
  <si>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</si>
  <si>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</si>
  <si>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</si>
  <si>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</si>
  <si>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</si>
  <si>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</si>
  <si>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</si>
  <si>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</si>
  <si>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</si>
  <si>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</si>
  <si>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</si>
  <si>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</si>
  <si>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</si>
  <si>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</si>
  <si>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</si>
  <si>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</si>
  <si>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</si>
  <si>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</si>
  <si>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</si>
  <si>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</si>
  <si>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</si>
  <si>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</si>
  <si>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</si>
  <si>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</si>
  <si>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</si>
  <si>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</si>
  <si>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</si>
  <si>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</si>
  <si>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</si>
  <si>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</si>
  <si>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</si>
  <si>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</si>
  <si>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</si>
  <si>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</si>
  <si>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</si>
  <si>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</si>
  <si>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</si>
  <si>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</si>
  <si>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</si>
  <si>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</si>
  <si>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</si>
  <si>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</si>
  <si>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</si>
  <si>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</si>
  <si>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</si>
  <si>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</si>
  <si>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</si>
  <si>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</si>
  <si>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</si>
  <si>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</si>
  <si>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</si>
  <si>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</si>
  <si>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</si>
  <si>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</si>
  <si>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</si>
  <si>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</si>
  <si>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</si>
  <si>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</si>
  <si>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</si>
  <si>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</si>
  <si>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</si>
  <si>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</si>
  <si>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</si>
  <si>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</si>
  <si>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</si>
  <si>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</si>
  <si>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</si>
  <si>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</si>
  <si>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</si>
  <si>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</si>
  <si>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</si>
  <si>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</si>
  <si>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</si>
  <si>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</si>
  <si>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</si>
  <si>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</si>
  <si>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</si>
  <si>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</si>
  <si>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</si>
  <si>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</si>
  <si>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</si>
  <si>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</si>
  <si>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</si>
  <si>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</si>
  <si>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</si>
  <si>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</si>
  <si>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</si>
  <si>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</si>
  <si>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</si>
  <si>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</si>
  <si>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</si>
  <si>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</si>
  <si>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</si>
  <si>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</si>
  <si>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</si>
  <si>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</si>
  <si>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</si>
  <si>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</si>
  <si>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</si>
  <si>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</si>
  <si>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</si>
  <si>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</si>
  <si>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</si>
  <si>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</si>
  <si>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</si>
  <si>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</si>
  <si>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</si>
  <si>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</si>
  <si>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</si>
  <si>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</si>
  <si>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</si>
  <si>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</si>
  <si>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</si>
  <si>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</si>
  <si>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</si>
  <si>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</si>
  <si>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</si>
  <si>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</si>
  <si>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</si>
  <si>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</si>
  <si>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</si>
  <si>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</si>
  <si>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</si>
  <si>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</si>
  <si>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</si>
  <si>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</si>
  <si>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</si>
  <si>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</si>
  <si>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</si>
  <si>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</si>
  <si>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</si>
  <si>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</si>
  <si>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</si>
  <si>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</si>
  <si>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</si>
  <si>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</si>
  <si>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</si>
  <si>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</si>
  <si>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</si>
  <si>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</si>
  <si>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</si>
  <si>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</si>
  <si>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</si>
  <si>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</si>
  <si>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</si>
  <si>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</si>
  <si>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</si>
  <si>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</si>
  <si>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</si>
  <si>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</si>
  <si>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</si>
  <si>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</si>
  <si>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</si>
  <si>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</si>
  <si>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</si>
  <si>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</si>
  <si>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 xml:space="preserve">Asset Plays </t>
  </si>
  <si>
    <t>FY</t>
  </si>
  <si>
    <t>Consumer Discretionary, 12.4y</t>
  </si>
  <si>
    <t>Worst Case Asset Value</t>
  </si>
  <si>
    <t>= Net Non-operating Assets per share</t>
  </si>
  <si>
    <t>4. Is the upside very attractive? (20%+ is attractive)</t>
  </si>
  <si>
    <t>9982.HK</t>
  </si>
  <si>
    <t>CENTRALCHINA MT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</si>
  <si>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</si>
  <si>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</si>
  <si>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</si>
  <si>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建业地产仍未走出债务危机，有中原建业秘密财务支援的担忧
2. 房地产中短期持续下行</t>
  </si>
  <si>
    <t>1. 代建趋势(大中原中小房企多，代建需求多)
2. 房地产行业最终复苏</t>
  </si>
  <si>
    <t>Projects in Henan Province</t>
  </si>
  <si>
    <t>outside Henan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</si>
</sst>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I5" sqref="I5:J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340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341</v>
      </c>
      <c r="D4" s="404"/>
      <c r="E4" s="6"/>
      <c r="G4" s="5" t="s">
        <v>5</v>
      </c>
      <c r="I4" s="32">
        <v>0.34</v>
      </c>
      <c r="J4" s="33" t="s">
        <v>6</v>
      </c>
      <c r="K4" s="152"/>
    </row>
    <row r="5" spans="1:12" ht="15.75" customHeight="1">
      <c r="B5" s="5" t="s">
        <v>7</v>
      </c>
      <c r="C5" s="405">
        <v>45058</v>
      </c>
      <c r="D5" s="404"/>
      <c r="E5" s="122" t="str">
        <f ca="1">IF(C5+30&gt;=TODAY(),"Patience Premium","")</f>
        <v>Patience Premium</v>
      </c>
      <c r="G5" s="5" t="s">
        <v>8</v>
      </c>
      <c r="I5" s="413">
        <v>3625799936</v>
      </c>
      <c r="J5" s="414"/>
      <c r="K5" s="151"/>
      <c r="L5" s="85"/>
    </row>
    <row r="6" spans="1:12" ht="15.75" customHeight="1">
      <c r="B6" s="12" t="s">
        <v>247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1232.77197824</v>
      </c>
      <c r="J6" s="416"/>
      <c r="K6" s="151"/>
    </row>
    <row r="7" spans="1:12" ht="15.75" customHeight="1">
      <c r="B7" s="139" t="s">
        <v>10</v>
      </c>
      <c r="C7" s="145">
        <f>(Data!C39*Exchange_Rate)/I4</f>
        <v>0.40228569594380836</v>
      </c>
      <c r="D7" s="145">
        <f>(Data!C40*Exchange_Rate)/I4</f>
        <v>5.8560807351384012E-3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3.6057006263481708</v>
      </c>
      <c r="J9" s="48">
        <f>IF(I9="NNI","NNI",1/I9)</f>
        <v>0.27733861005892585</v>
      </c>
    </row>
    <row r="10" spans="1:12" ht="15.75" customHeight="1">
      <c r="B10" s="3" t="s">
        <v>264</v>
      </c>
      <c r="C10" s="299" t="s">
        <v>265</v>
      </c>
      <c r="D10" s="299">
        <v>2.8999999999999998E-2</v>
      </c>
      <c r="E10" s="5"/>
      <c r="G10" s="5" t="s">
        <v>14</v>
      </c>
      <c r="I10" s="138">
        <f>I4/(Data!C28*I12*Data!C4/Common_Shares)</f>
        <v>0.50242418115428789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266</v>
      </c>
      <c r="C11" s="425">
        <f ca="1">C12-D10</f>
        <v>6.7000000000000004E-2</v>
      </c>
      <c r="D11" s="426"/>
      <c r="E11" s="13"/>
      <c r="G11" s="5" t="s">
        <v>15</v>
      </c>
      <c r="H11" s="6"/>
      <c r="I11" s="423" t="s">
        <v>333</v>
      </c>
      <c r="J11" s="424"/>
    </row>
    <row r="12" spans="1:12" ht="15.75" customHeight="1" thickTop="1">
      <c r="B12" s="313" t="s">
        <v>145</v>
      </c>
      <c r="C12" s="379">
        <f ca="1">IF(C10="CN",8%,6%)*IF($C$5+30&gt;=TODAY(),1.2,1)</f>
        <v>9.6000000000000002E-2</v>
      </c>
      <c r="D12" s="380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 ca="1">MIN('FCFF Model'!C30,'FCFF Model'!E30)</f>
        <v>0.30720151596935769</v>
      </c>
      <c r="E14" s="127" t="s">
        <v>227</v>
      </c>
      <c r="F14" s="184">
        <f ca="1">MAX('FCFF Model'!C30,'FCFF Model'!E30)</f>
        <v>0.37</v>
      </c>
      <c r="G14" s="185" t="s">
        <v>24</v>
      </c>
      <c r="H14" s="193">
        <f ca="1">IF('FCFF Model'!C33&lt;0, "Error", 'FCFF Model'!C33)</f>
        <v>0.33603969055771488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0.34</v>
      </c>
      <c r="C16" s="389">
        <v>0.1</v>
      </c>
      <c r="D16" s="159">
        <f ca="1">IF(B17='FCFF Model'!G29,"Net Asset", H14/B16-1-C16)</f>
        <v>-0.11164796894789755</v>
      </c>
      <c r="E16" s="384">
        <f>'FCFF Model'!D11*Exchange_Rate</f>
        <v>3.0418029069900512E-2</v>
      </c>
      <c r="F16" s="161">
        <f>E16/B16</f>
        <v>8.9464791382060316E-2</v>
      </c>
      <c r="G16" s="392" t="s">
        <v>25</v>
      </c>
      <c r="H16" s="417">
        <f>('FCFF Model'!G19)*Exchange_Rate</f>
        <v>0.29118441736428913</v>
      </c>
      <c r="I16" s="392" t="s">
        <v>26</v>
      </c>
      <c r="J16" s="206">
        <f>B16-$H$16</f>
        <v>4.8815582635710897E-2</v>
      </c>
    </row>
    <row r="17" spans="1:10" ht="15.75" customHeight="1">
      <c r="B17" s="289">
        <f ca="1">MAX(H14/(1+C16),'FCFF Model'!G29)</f>
        <v>0.30549062777974079</v>
      </c>
      <c r="C17" s="390"/>
      <c r="D17" s="288">
        <f ca="1">IF(B17='FCFF Model'!G29,"Net Asset",H14/B17-1-C16)</f>
        <v>8.3266726846886741E-17</v>
      </c>
      <c r="E17" s="385"/>
      <c r="F17" s="162">
        <f ca="1">E16/B17</f>
        <v>9.9571071266487288E-2</v>
      </c>
      <c r="G17" s="393"/>
      <c r="H17" s="418"/>
      <c r="I17" s="393"/>
      <c r="J17" s="205">
        <f ca="1">B17-$H$16</f>
        <v>1.4306210415451659E-2</v>
      </c>
    </row>
    <row r="18" spans="1:10" ht="15.75" customHeight="1">
      <c r="B18" s="355">
        <f>C35</f>
        <v>0.28000000000000003</v>
      </c>
      <c r="C18" s="391"/>
      <c r="D18" s="160">
        <f ca="1">IF(B17='FCFF Model'!G29,"NA: "&amp;ROUND('FCFF Model'!G29/B18-1,2)*100&amp;"%", H14/B18-1-C16)</f>
        <v>0.1001417519918387</v>
      </c>
      <c r="E18" s="386"/>
      <c r="F18" s="163">
        <f>E16/B18</f>
        <v>0.10863581810678753</v>
      </c>
      <c r="G18" s="394"/>
      <c r="H18" s="419"/>
      <c r="I18" s="394"/>
      <c r="J18" s="207">
        <f>B18-$H$16</f>
        <v>-1.1184417364289101E-2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245</v>
      </c>
      <c r="D20" s="290" t="s">
        <v>334</v>
      </c>
      <c r="E20" s="266" t="s">
        <v>255</v>
      </c>
      <c r="G20" s="6"/>
      <c r="H20" s="6"/>
      <c r="I20" s="357"/>
    </row>
    <row r="21" spans="1:10" ht="15.75" customHeight="1">
      <c r="A21" s="6"/>
      <c r="B21" s="24" t="s">
        <v>28</v>
      </c>
      <c r="C21" s="408" t="s">
        <v>342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343</v>
      </c>
      <c r="D22" s="422"/>
      <c r="E22" s="422"/>
      <c r="F22" s="422"/>
      <c r="G22" s="421" t="s">
        <v>344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346</v>
      </c>
      <c r="D23" s="388"/>
      <c r="E23" s="388"/>
      <c r="F23" s="388"/>
      <c r="G23" s="387" t="s">
        <v>345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0.26883175244617191</v>
      </c>
    </row>
    <row r="26" spans="1:10" ht="15.75" customHeight="1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</v>
      </c>
      <c r="D27" s="382"/>
      <c r="E27" s="381">
        <f>E31/D25</f>
        <v>0</v>
      </c>
      <c r="F27" s="382"/>
      <c r="G27" s="396">
        <f>G31/D25</f>
        <v>0</v>
      </c>
      <c r="H27" s="397"/>
      <c r="I27" s="395">
        <f>C27+E27+G27</f>
        <v>0</v>
      </c>
      <c r="J27" s="395"/>
    </row>
    <row r="28" spans="1:10" ht="15.75" customHeight="1">
      <c r="B28" s="23" t="s">
        <v>36</v>
      </c>
      <c r="C28" s="372"/>
      <c r="D28" s="422"/>
      <c r="E28" s="372"/>
      <c r="F28" s="422"/>
      <c r="G28" s="413"/>
      <c r="H28" s="414"/>
      <c r="I28" s="437">
        <f>C28+E28+G28</f>
        <v>0</v>
      </c>
      <c r="J28" s="437"/>
    </row>
    <row r="29" spans="1:10" ht="15.75" customHeight="1">
      <c r="B29" s="23" t="s">
        <v>37</v>
      </c>
      <c r="C29" s="447">
        <v>0.28000000000000003</v>
      </c>
      <c r="D29" s="422"/>
      <c r="E29" s="447"/>
      <c r="F29" s="422"/>
      <c r="G29" s="427"/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1015.22398208</v>
      </c>
      <c r="D30" s="442"/>
      <c r="E30" s="435">
        <f>E29*$I$5/1000000</f>
        <v>0</v>
      </c>
      <c r="F30" s="442"/>
      <c r="G30" s="429">
        <f>G29*$I$5/1000000</f>
        <v>0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0</v>
      </c>
      <c r="D31" s="444"/>
      <c r="E31" s="436">
        <f>E28*E29</f>
        <v>0</v>
      </c>
      <c r="F31" s="445"/>
      <c r="G31" s="431">
        <f>G28*G29</f>
        <v>0</v>
      </c>
      <c r="H31" s="432"/>
      <c r="I31" s="436">
        <f>C31+E31+G31</f>
        <v>0</v>
      </c>
      <c r="J31" s="436"/>
    </row>
    <row r="32" spans="1:10" ht="15.75" customHeight="1">
      <c r="B32" s="1" t="s">
        <v>40</v>
      </c>
      <c r="C32" s="438"/>
      <c r="D32" s="439"/>
      <c r="E32" s="446" t="str">
        <f>IF(C31=0,"-",(C31+E31)/(C28+E28))</f>
        <v>-</v>
      </c>
      <c r="F32" s="382"/>
      <c r="G32" s="117"/>
      <c r="H32" s="117"/>
      <c r="I32" s="446" t="str">
        <f>IF(I31=0,"",I31/I28)</f>
        <v/>
      </c>
      <c r="J32" s="446"/>
    </row>
    <row r="33" spans="2:11" ht="15.75" customHeight="1">
      <c r="B33" s="1" t="s">
        <v>41</v>
      </c>
      <c r="C33" s="440"/>
      <c r="D33" s="441"/>
      <c r="E33" s="435" t="str">
        <f>IF(E32="-","-",E32*$I$5/1000000)</f>
        <v>-</v>
      </c>
      <c r="F33" s="442"/>
      <c r="G33" s="118"/>
      <c r="H33" s="118"/>
      <c r="I33" s="435" t="str">
        <f>IF(I32="","",I32*$I$5/1000000)</f>
        <v/>
      </c>
      <c r="J33" s="435"/>
    </row>
    <row r="34" spans="2:11" ht="15.75" customHeight="1"/>
    <row r="35" spans="2:11" ht="15.75" customHeight="1">
      <c r="B35" s="146" t="s">
        <v>308</v>
      </c>
      <c r="C35" s="370">
        <f>C29</f>
        <v>0.28000000000000003</v>
      </c>
      <c r="D35" s="371"/>
      <c r="G35" s="374" t="s">
        <v>310</v>
      </c>
      <c r="H35" s="375"/>
      <c r="I35" s="370">
        <f ca="1">F14</f>
        <v>0.37</v>
      </c>
      <c r="J35" s="371"/>
    </row>
    <row r="36" spans="2:11" ht="15.75" customHeight="1">
      <c r="B36" s="146" t="s">
        <v>309</v>
      </c>
      <c r="C36" s="372">
        <f>E28</f>
        <v>0</v>
      </c>
      <c r="D36" s="373"/>
      <c r="G36" s="376" t="s">
        <v>320</v>
      </c>
      <c r="H36" s="376"/>
      <c r="I36" s="377">
        <f>IF(C26="",0,I35/C29-1)</f>
        <v>0</v>
      </c>
      <c r="J36" s="378"/>
    </row>
    <row r="37" spans="2:11" ht="15.75" customHeight="1"/>
    <row r="38" spans="2:11" ht="15.75" customHeight="1">
      <c r="B38" s="21" t="s">
        <v>321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324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323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330</v>
      </c>
      <c r="E41" s="358"/>
      <c r="F41" s="361">
        <f>'Qualitative Analysis'!E64</f>
        <v>0.45921768707482991</v>
      </c>
      <c r="G41" s="364" t="s">
        <v>322</v>
      </c>
      <c r="H41" s="116"/>
      <c r="I41" s="116"/>
      <c r="J41" s="116"/>
    </row>
    <row r="42" spans="2:11" ht="15.75" customHeight="1">
      <c r="B42" s="3" t="s">
        <v>339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325</v>
      </c>
      <c r="H42" s="74"/>
      <c r="I42" s="74"/>
      <c r="J42" s="74"/>
    </row>
    <row r="43" spans="2:11" ht="15.75" customHeight="1">
      <c r="B43" s="3" t="s">
        <v>332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326</v>
      </c>
      <c r="F45" s="365">
        <f ca="1">I35/C29-1</f>
        <v>0.3214285714285714</v>
      </c>
    </row>
    <row r="46" spans="2:11" ht="15.75" customHeight="1">
      <c r="B46" s="3" t="s">
        <v>327</v>
      </c>
      <c r="F46" s="365">
        <f ca="1">D14/C29-1</f>
        <v>9.7148271319134505E-2</v>
      </c>
    </row>
    <row r="47" spans="2:11" ht="15.75" customHeight="1"/>
    <row r="48" spans="2:11" ht="15.75" customHeight="1">
      <c r="B48" s="3" t="s">
        <v>329</v>
      </c>
      <c r="F48" s="214">
        <f ca="1">IF(F45&lt;=0,0,AVERAGE(F39:F41,1-F43,E42))</f>
        <v>0.64784353741496603</v>
      </c>
      <c r="G48" s="74"/>
    </row>
    <row r="49" spans="2:8" ht="15.75" customHeight="1">
      <c r="B49" s="3" t="s">
        <v>328</v>
      </c>
      <c r="D49" s="367">
        <f ca="1">IF(F42="Strongly Agree",2,IF(F42="Agree",3,4))</f>
        <v>2</v>
      </c>
      <c r="E49" s="363">
        <f ca="1">F45/ABS(F46)</f>
        <v>3.3086391251643632</v>
      </c>
      <c r="F49" s="360">
        <f ca="1">IF(F46&gt;=0,100,F45/ABS(F46))</f>
        <v>100</v>
      </c>
      <c r="G49" s="74"/>
    </row>
    <row r="50" spans="2:8" ht="15.75" customHeight="1">
      <c r="B50" s="368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7">
        <f ca="1">MAX(F48-ABS((1-F48)/F49),0)/D49</f>
        <v>0.32216098639455787</v>
      </c>
      <c r="F50" s="359">
        <f ca="1">MIN(E50,H50)</f>
        <v>0.32216098639455787</v>
      </c>
      <c r="G50" s="362" t="s">
        <v>331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7" sqref="C3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303477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405112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44926</v>
      </c>
      <c r="D6" s="279">
        <f>EOMONTH(EDATE(C6,-12),0)</f>
        <v>44561</v>
      </c>
      <c r="E6" s="279">
        <f t="shared" ref="E6:M6" si="0">EOMONTH(EDATE(D6,-12),0)</f>
        <v>44196</v>
      </c>
      <c r="F6" s="279">
        <f t="shared" si="0"/>
        <v>43830</v>
      </c>
      <c r="G6" s="279">
        <f t="shared" si="0"/>
        <v>43465</v>
      </c>
      <c r="H6" s="279">
        <f t="shared" si="0"/>
        <v>43100</v>
      </c>
      <c r="I6" s="279">
        <f t="shared" si="0"/>
        <v>42735</v>
      </c>
      <c r="J6" s="279">
        <f t="shared" si="0"/>
        <v>42369</v>
      </c>
      <c r="K6" s="279">
        <f t="shared" si="0"/>
        <v>42004</v>
      </c>
      <c r="L6" s="279">
        <f t="shared" si="0"/>
        <v>41639</v>
      </c>
      <c r="M6" s="279">
        <f t="shared" si="0"/>
        <v>41274</v>
      </c>
    </row>
    <row r="7" spans="1:14" ht="15.75" customHeight="1">
      <c r="A7" s="9"/>
      <c r="B7" s="43" t="s">
        <v>45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f>123069+18827+58671</f>
        <v>200567</v>
      </c>
      <c r="D11" s="35">
        <f>196859+18177+72330</f>
        <v>287366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0.33114405485413889</v>
      </c>
      <c r="D12" s="14">
        <f t="shared" si="3"/>
        <v>0.22080465696312346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0.66885594514586111</v>
      </c>
      <c r="D13" s="14">
        <f t="shared" si="4"/>
        <v>0.77919534303687654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405112</v>
      </c>
      <c r="D14" s="27">
        <f t="shared" si="5"/>
        <v>1014083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-0.60051396187491557</v>
      </c>
      <c r="D15" s="14">
        <f t="shared" ref="D15:M15" si="6">IF(E14="","",IF(ABS(D14+E14)=ABS(D14)+ABS(E14),IF(D14&lt;0,-1,1)*(D14-E14)/E14,"Turn"))</f>
        <v>-8.1992040961168008E-2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405112</v>
      </c>
      <c r="D16" s="143">
        <f>IF(D14="","",D14*(1-Operation!$D$16))</f>
        <v>1014083</v>
      </c>
      <c r="E16" s="143">
        <f>IF(E14="","",E14*(1-Operation!$D$16))</f>
        <v>1104656</v>
      </c>
      <c r="F16" s="143">
        <f>IF(F14="","",F14*(1-Operation!$D$16))</f>
        <v>1002979</v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0.66885594514586111</v>
      </c>
      <c r="D17" s="129">
        <f t="shared" si="7"/>
        <v>0.77919534303687654</v>
      </c>
      <c r="E17" s="129">
        <f t="shared" si="7"/>
        <v>0.95883452740343134</v>
      </c>
      <c r="F17" s="129">
        <f t="shared" si="7"/>
        <v>0.97471707831427756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248</v>
      </c>
      <c r="C18" s="144">
        <v>211</v>
      </c>
      <c r="D18" s="144">
        <v>413</v>
      </c>
      <c r="E18" s="144">
        <v>389</v>
      </c>
      <c r="F18" s="144">
        <v>242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263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2462</v>
      </c>
      <c r="D24" s="140">
        <v>4464</v>
      </c>
      <c r="E24" s="140">
        <v>7281</v>
      </c>
      <c r="F24" s="140">
        <v>4564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636</v>
      </c>
      <c r="D26" s="140">
        <v>1609</v>
      </c>
      <c r="E26" s="140">
        <v>5071</v>
      </c>
      <c r="F26" s="140">
        <v>4528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2177935</v>
      </c>
      <c r="D29" s="140">
        <v>2319629</v>
      </c>
      <c r="E29" s="140">
        <v>1007392</v>
      </c>
      <c r="F29" s="140">
        <v>746731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-139223.57699999999</v>
      </c>
      <c r="D33" s="248">
        <f>IF(E7="","",(D7-E7)*Asset_Model!$D$65)</f>
        <v>29888.3367</v>
      </c>
      <c r="E33" s="248">
        <f>IF(F7="","",(E7-F7)*Asset_Model!$D$65)</f>
        <v>24629.708699999999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-147408.57699999999</v>
      </c>
      <c r="D34" s="143">
        <f>IF(E7="","",D30-E30+D33+IF($C$49="Yes",D51,0))</f>
        <v>25758.3367</v>
      </c>
      <c r="E34" s="143">
        <f t="shared" ref="E34:F34" si="11">IF(F7="","",E30-F30+E33+IF($C$49="Yes",E51,0))</f>
        <v>24602.708699999999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-0.36387116896068245</v>
      </c>
      <c r="D35" s="239">
        <f t="shared" si="19"/>
        <v>2.5400619771754382E-2</v>
      </c>
      <c r="E35" s="239">
        <f t="shared" si="19"/>
        <v>2.227182824336264E-2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249</v>
      </c>
      <c r="C37" s="165">
        <v>440200</v>
      </c>
      <c r="D37" s="165">
        <v>235813</v>
      </c>
      <c r="E37" s="165">
        <v>200000</v>
      </c>
      <c r="F37" s="165">
        <v>320000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6408</v>
      </c>
      <c r="D38" s="164">
        <v>6950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0.1214076914805263</v>
      </c>
      <c r="D39" s="170">
        <f t="shared" si="20"/>
        <v>6.5037510111534191E-2</v>
      </c>
      <c r="E39" s="170">
        <f t="shared" si="20"/>
        <v>5.5160241472297276E-2</v>
      </c>
      <c r="F39" s="170">
        <f t="shared" si="20"/>
        <v>8.8256386355675634E-2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1.7673341367724046E-3</v>
      </c>
      <c r="D40" s="172">
        <f t="shared" si="21"/>
        <v>1.9168183911623302E-3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244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130.76565526145902</v>
      </c>
      <c r="D44" s="50">
        <f t="shared" si="24"/>
        <v>166.98221636752839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5.2084361855486878E-4</v>
      </c>
      <c r="D45" s="14">
        <f t="shared" si="25"/>
        <v>4.0726449412917877E-4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288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250</v>
      </c>
      <c r="C3" s="6"/>
      <c r="D3" s="273">
        <v>2177935</v>
      </c>
      <c r="E3" s="156" t="str">
        <f>IF((C46-I46)=D3,"", "Error!")</f>
        <v/>
      </c>
      <c r="F3" s="6"/>
      <c r="G3" s="6"/>
      <c r="H3" s="274" t="s">
        <v>251</v>
      </c>
      <c r="I3" s="275">
        <v>2177935</v>
      </c>
      <c r="K3" s="74"/>
    </row>
    <row r="4" spans="1:11" ht="15" customHeight="1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0.67671902100506287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882383.10000000009</v>
      </c>
      <c r="E6" s="14">
        <f>1-D6/D3</f>
        <v>0.59485333584335609</v>
      </c>
      <c r="F6" s="6"/>
      <c r="G6" s="6"/>
      <c r="H6" s="3" t="s">
        <v>311</v>
      </c>
      <c r="I6" s="69">
        <f>C26/I26</f>
        <v>5.1484680450215103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0.27417045393155104</v>
      </c>
      <c r="E7" s="49" t="str">
        <f>Dashboard!J4</f>
        <v>HKD</v>
      </c>
      <c r="H7" s="3" t="s">
        <v>312</v>
      </c>
      <c r="I7" s="69">
        <f>C25/I26</f>
        <v>5.1484680450215103</v>
      </c>
      <c r="J7" s="6"/>
      <c r="K7" s="116"/>
    </row>
    <row r="8" spans="1:11" ht="15" customHeight="1">
      <c r="D8" s="6"/>
      <c r="H8" s="3" t="s">
        <v>313</v>
      </c>
      <c r="I8" s="69">
        <f>C24/I26</f>
        <v>3.0388878638089598</v>
      </c>
      <c r="K8" s="74"/>
    </row>
    <row r="9" spans="1:11" ht="15" customHeight="1">
      <c r="A9" s="4"/>
      <c r="B9" s="268" t="s">
        <v>246</v>
      </c>
      <c r="C9" s="255"/>
      <c r="D9" s="271">
        <v>44926</v>
      </c>
      <c r="E9" s="290" t="s">
        <v>335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2462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512403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425028+661121</f>
        <v>1086149</v>
      </c>
      <c r="D17" s="65">
        <v>0.4</v>
      </c>
      <c r="E17" s="27">
        <f t="shared" si="0"/>
        <v>434459.60000000003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314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2650766</v>
      </c>
      <c r="D25" s="68">
        <f>IF(E25=0,0,E25/C25)</f>
        <v>0.51805017870306169</v>
      </c>
      <c r="E25" s="27">
        <f>E24+SUM(E15:E17)</f>
        <v>1373229.8</v>
      </c>
      <c r="F25" s="6"/>
      <c r="G25" s="6"/>
      <c r="H25" s="66" t="s">
        <v>318</v>
      </c>
      <c r="I25" s="69">
        <f>E25/$I$26</f>
        <v>2.6671647907703964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2650766</v>
      </c>
      <c r="D26" s="14">
        <f t="shared" ref="D26" si="2">E26/C26</f>
        <v>0.51805017870306169</v>
      </c>
      <c r="E26" s="27">
        <f>SUM(E11:E22)</f>
        <v>1373229.8</v>
      </c>
      <c r="H26" s="5" t="s">
        <v>58</v>
      </c>
      <c r="I26" s="64">
        <v>514865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636</v>
      </c>
      <c r="J29" s="6"/>
    </row>
    <row r="30" spans="2:10" ht="15" customHeight="1">
      <c r="B30" s="5" t="s">
        <v>114</v>
      </c>
      <c r="C30" s="64">
        <v>4894</v>
      </c>
      <c r="D30" s="65">
        <v>0.3</v>
      </c>
      <c r="E30" s="27">
        <f t="shared" si="3"/>
        <v>1468.2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0</v>
      </c>
      <c r="J32" s="6"/>
    </row>
    <row r="33" spans="2:10" ht="14">
      <c r="B33" s="5" t="s">
        <v>119</v>
      </c>
      <c r="C33" s="64">
        <v>2230</v>
      </c>
      <c r="D33" s="65">
        <v>0.6</v>
      </c>
      <c r="E33" s="220">
        <f t="shared" si="3"/>
        <v>1338</v>
      </c>
      <c r="F33" s="204" t="s">
        <v>235</v>
      </c>
      <c r="G33" s="94">
        <f>IF(F33="Y",0,1)</f>
        <v>0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292</v>
      </c>
      <c r="C36" s="64">
        <v>12027</v>
      </c>
      <c r="D36" s="65">
        <v>0.4</v>
      </c>
      <c r="E36" s="27">
        <f t="shared" si="3"/>
        <v>4810.8</v>
      </c>
      <c r="F36" s="6"/>
      <c r="G36" s="6"/>
    </row>
    <row r="37" spans="2:10" ht="14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122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42670</v>
      </c>
      <c r="D42" s="14">
        <f>E42/C42</f>
        <v>0.5777900164049683</v>
      </c>
      <c r="E42" s="27">
        <f>SUM(E28:E40)</f>
        <v>24654.3</v>
      </c>
      <c r="F42" s="6"/>
      <c r="G42" s="6"/>
      <c r="H42" s="5" t="s">
        <v>125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315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2657890</v>
      </c>
      <c r="D45" s="68">
        <f>IF(E45=0,0,E45/C45)</f>
        <v>0.51771743751622523</v>
      </c>
      <c r="E45" s="27">
        <f>E44+(E25-E24)+SUM(E30:E33)</f>
        <v>1376036</v>
      </c>
      <c r="F45" s="6"/>
      <c r="G45" s="6"/>
      <c r="H45" s="66" t="s">
        <v>319</v>
      </c>
      <c r="I45" s="69">
        <f>E45/$I$46</f>
        <v>2.6693178092768006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2693436</v>
      </c>
      <c r="D46" s="14">
        <f>E46/C46</f>
        <v>0.51899659022898637</v>
      </c>
      <c r="E46" s="27">
        <f>E26+E42</f>
        <v>1397884.1</v>
      </c>
      <c r="F46" s="6"/>
      <c r="G46" s="6"/>
      <c r="H46" s="5" t="s">
        <v>316</v>
      </c>
      <c r="I46" s="155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257</v>
      </c>
      <c r="C52" s="5"/>
      <c r="D52" s="448">
        <f>D53+D54+D55</f>
        <v>3098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3098</v>
      </c>
      <c r="E53" s="444"/>
      <c r="F53" s="5"/>
      <c r="G53" s="5"/>
      <c r="H53" s="3" t="s">
        <v>317</v>
      </c>
      <c r="I53" s="14">
        <f>D53/I3</f>
        <v>1.4224483283477238E-3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4894</v>
      </c>
      <c r="D58" s="129">
        <f>IF(E58=0,0,E58/C58)</f>
        <v>0.3</v>
      </c>
      <c r="E58" s="221">
        <f>E14+E15+(E19*G19)+(E20*G20)+E29+E30+(E31*G31)+(E33*G33)+(E34*G34)+(E35*G35)</f>
        <v>1468.2</v>
      </c>
      <c r="H58" s="6"/>
    </row>
    <row r="59" spans="2:9" ht="14">
      <c r="B59" s="53" t="s">
        <v>91</v>
      </c>
      <c r="C59" s="213">
        <f>C11+C12+C28</f>
        <v>1564617</v>
      </c>
      <c r="D59" s="214">
        <f>IF(E59=0,0,E59/C59)</f>
        <v>0.6</v>
      </c>
      <c r="E59" s="215">
        <f>E11+E12+E28</f>
        <v>938770.2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-333641.02176000015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256</v>
      </c>
    </row>
    <row r="63" spans="2:9" ht="15" customHeight="1">
      <c r="B63" s="3" t="s">
        <v>259</v>
      </c>
      <c r="D63" s="377">
        <f>((C26-C11-C12-C14-C15-C16*G16-C19*G19-C20*G20)-I26)/Data!C7</f>
        <v>0.94321249374668759</v>
      </c>
      <c r="E63" s="378"/>
    </row>
    <row r="64" spans="2:9" ht="15" customHeight="1">
      <c r="B64" s="3" t="s">
        <v>258</v>
      </c>
      <c r="D64" s="452">
        <v>0.2001</v>
      </c>
      <c r="E64" s="453"/>
      <c r="F64" s="266" t="s">
        <v>243</v>
      </c>
    </row>
    <row r="65" spans="2:5" ht="15" customHeight="1">
      <c r="B65" s="291" t="s">
        <v>260</v>
      </c>
      <c r="D65" s="452">
        <f>D64</f>
        <v>0.2001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6" sqref="E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240</v>
      </c>
      <c r="C2" s="285" t="s">
        <v>254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242</v>
      </c>
      <c r="E3" s="277">
        <f>EOMONTH(EDATE(C3,12),0)</f>
        <v>45291</v>
      </c>
      <c r="F3" s="28" t="s">
        <v>242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136</v>
      </c>
    </row>
    <row r="4" spans="1:13" ht="15.75" customHeight="1">
      <c r="B4" s="292" t="s">
        <v>347</v>
      </c>
      <c r="C4" s="293">
        <v>554225</v>
      </c>
      <c r="D4" s="260">
        <f>C4/$C$6</f>
        <v>0.91504740960145559</v>
      </c>
      <c r="E4" s="293">
        <f>C4*0.5</f>
        <v>277112.5</v>
      </c>
      <c r="F4" s="260">
        <f>E4/E$6</f>
        <v>0.89976002070231353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348</v>
      </c>
      <c r="C5" s="293">
        <v>51454</v>
      </c>
      <c r="D5" s="260">
        <f>C5/$C$6</f>
        <v>8.4952590398544442E-2</v>
      </c>
      <c r="E5" s="293">
        <f>C5*0.6</f>
        <v>30872.399999999998</v>
      </c>
      <c r="F5" s="260">
        <f>E5/E$6</f>
        <v>0.10023997929768633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138</v>
      </c>
      <c r="C6" s="180">
        <f>SUM(C4:C5)</f>
        <v>605679</v>
      </c>
      <c r="D6" s="259"/>
      <c r="E6" s="337">
        <f>SUM(E4:E5)</f>
        <v>307984.90000000002</v>
      </c>
      <c r="F6" s="259"/>
      <c r="G6" s="337"/>
      <c r="H6" s="259"/>
      <c r="I6" s="228"/>
      <c r="J6" s="287"/>
      <c r="K6" s="6"/>
      <c r="L6" s="74" t="s">
        <v>261</v>
      </c>
      <c r="M6" s="57"/>
    </row>
    <row r="7" spans="1:13" ht="15.75" customHeight="1">
      <c r="B7" s="17" t="s">
        <v>137</v>
      </c>
      <c r="C7" s="187"/>
      <c r="D7" s="261"/>
      <c r="E7" s="18">
        <f>E6/C6-1</f>
        <v>-0.49150474096014551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>
      <c r="B8" s="8" t="s">
        <v>139</v>
      </c>
      <c r="C8" s="181">
        <f>Data!C9</f>
        <v>0</v>
      </c>
      <c r="D8" s="262"/>
      <c r="E8" s="227">
        <f>E6*(1-E9)</f>
        <v>0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>
      <c r="B9" s="17" t="s">
        <v>48</v>
      </c>
      <c r="C9" s="186">
        <f>(C6-C8)/C6</f>
        <v>1</v>
      </c>
      <c r="D9" s="186"/>
      <c r="E9" s="73">
        <f>C9</f>
        <v>1</v>
      </c>
      <c r="F9" s="186"/>
      <c r="G9" s="73"/>
      <c r="H9" s="186"/>
      <c r="I9" s="73"/>
      <c r="J9" s="329"/>
      <c r="K9" s="6"/>
      <c r="L9" s="74"/>
    </row>
    <row r="10" spans="1:13" ht="15.75" customHeight="1">
      <c r="B10" s="5" t="s">
        <v>140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0.33114405485413889</v>
      </c>
      <c r="D11" s="189"/>
      <c r="E11" s="226">
        <f>E12/E6</f>
        <v>0.65122348530723417</v>
      </c>
      <c r="F11" s="189"/>
      <c r="G11" s="65"/>
      <c r="H11" s="189"/>
      <c r="I11" s="65"/>
      <c r="J11" s="330"/>
      <c r="K11" s="6"/>
      <c r="L11" s="74"/>
    </row>
    <row r="12" spans="1:13" ht="15.75" customHeight="1">
      <c r="B12" s="8" t="s">
        <v>141</v>
      </c>
      <c r="C12" s="183">
        <f>123069+18827+58671</f>
        <v>200567</v>
      </c>
      <c r="D12" s="263"/>
      <c r="E12" s="76">
        <f>C12</f>
        <v>200567</v>
      </c>
      <c r="F12" s="263"/>
      <c r="G12" s="76"/>
      <c r="H12" s="263"/>
      <c r="I12" s="76"/>
      <c r="J12" s="331"/>
      <c r="K12" s="6"/>
      <c r="L12" s="74"/>
    </row>
    <row r="13" spans="1:13" ht="15.75" customHeight="1">
      <c r="B13" s="17" t="s">
        <v>51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142</v>
      </c>
      <c r="C14" s="188"/>
      <c r="D14" s="264"/>
      <c r="E14" s="14">
        <f>IF(ABS(C15+E15)=ABS(C15)+ABS(E15),IF(E15&lt;0,-1,1)*(E15-C15)/C15,"Turn")</f>
        <v>-0.73484394439068701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>
      <c r="B15" s="134" t="s">
        <v>238</v>
      </c>
      <c r="C15" s="319">
        <f>C10-C12</f>
        <v>405112</v>
      </c>
      <c r="D15" s="320"/>
      <c r="E15" s="319">
        <f>E10-E12</f>
        <v>107417.90000000002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>
      <c r="B16" s="315" t="s">
        <v>143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>
      <c r="B17" s="324" t="s">
        <v>295</v>
      </c>
      <c r="C17" s="264">
        <f>C18/C6</f>
        <v>0.50164195885939578</v>
      </c>
      <c r="D17" s="326"/>
      <c r="E17" s="325">
        <f>E18/E6</f>
        <v>0.2615823860195744</v>
      </c>
      <c r="F17" s="325"/>
      <c r="G17" s="325" t="str">
        <f>IF(G8="","",G18/G6)</f>
        <v/>
      </c>
      <c r="H17" s="325"/>
      <c r="I17" s="325" t="str">
        <f>IF(I8="","",I18/I6)</f>
        <v/>
      </c>
      <c r="J17" s="335"/>
    </row>
    <row r="18" spans="2:10" ht="15.75" customHeight="1">
      <c r="B18" s="321" t="s">
        <v>80</v>
      </c>
      <c r="C18" s="322">
        <f>IF(C15&lt;=0,C15,C15*(1-C16))</f>
        <v>303834</v>
      </c>
      <c r="D18" s="322"/>
      <c r="E18" s="323">
        <f>IF(E15="","",IF(E15&lt;=0,E15,E15*(1-E16)))</f>
        <v>80563.425000000017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2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E30" sqref="E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254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252</v>
      </c>
      <c r="I3" s="72" t="s">
        <v>136</v>
      </c>
    </row>
    <row r="4" spans="1:10" ht="15.75" customHeight="1">
      <c r="B4" s="5" t="s">
        <v>80</v>
      </c>
      <c r="C4" s="182">
        <f>Operation!C18</f>
        <v>303834</v>
      </c>
      <c r="D4" s="45">
        <f>Operation!E18</f>
        <v>80563.425000000017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267</v>
      </c>
      <c r="C5" s="257"/>
      <c r="D5" s="258">
        <f>D4/C4-1</f>
        <v>-0.7348439443906869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262</v>
      </c>
      <c r="C7" s="309">
        <f>C4*C6</f>
        <v>117340.6908</v>
      </c>
      <c r="D7" s="309">
        <f>D4*D6</f>
        <v>31113.594735000006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186493.30920000002</v>
      </c>
      <c r="D8" s="191">
        <f>D4-D7</f>
        <v>49449.830265000011</v>
      </c>
      <c r="E8" s="191" t="str">
        <f>IF(E4="","",E4-E7)</f>
        <v/>
      </c>
      <c r="F8" s="191" t="str">
        <f>IF(F4="","",F4-F7)</f>
        <v/>
      </c>
      <c r="G8" s="229">
        <f>IF(F4="",IF(E4="",D8,E8),F8)</f>
        <v>49449.830265000011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5.1435079842198993E-2</v>
      </c>
      <c r="D9" s="305">
        <f>D8/(Common_Shares/Data!$C$4)</f>
        <v>1.3638322890907571E-2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1.3638322890907571E-2</v>
      </c>
      <c r="H9" s="82"/>
      <c r="I9" s="56"/>
      <c r="J9" s="56"/>
    </row>
    <row r="10" spans="1:10" ht="15.75" customHeight="1">
      <c r="B10" s="234" t="s">
        <v>239</v>
      </c>
      <c r="C10" s="311">
        <f>C11/C9</f>
        <v>0</v>
      </c>
      <c r="D10" s="311">
        <f>D11/D9</f>
        <v>1.979715557108596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253</v>
      </c>
      <c r="C11" s="283">
        <v>0</v>
      </c>
      <c r="D11" s="284">
        <v>2.7E-2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268</v>
      </c>
      <c r="C12" s="236">
        <v>0</v>
      </c>
      <c r="D12" s="236">
        <f>D11</f>
        <v>2.7E-2</v>
      </c>
      <c r="E12" s="345"/>
      <c r="F12" s="345"/>
      <c r="G12" s="230">
        <f>IF(G9&lt;0,G9,G9*D27)</f>
        <v>0.10910658312726057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>
      <c r="B15" s="8" t="s">
        <v>291</v>
      </c>
      <c r="C15" s="237">
        <f>C12</f>
        <v>0</v>
      </c>
      <c r="D15" s="195">
        <f ca="1">IF(D12="","",MAX(D9-D11+D12,D12)/D14)</f>
        <v>2.4635036496350363E-2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9.0830111426471627E-2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938770.2</v>
      </c>
      <c r="D18" s="219">
        <f>C18/(Dashboard!I5/Data!C4)</f>
        <v>0.25891395459498401</v>
      </c>
      <c r="E18" s="85" t="s">
        <v>231</v>
      </c>
      <c r="G18" s="137">
        <f>C18+C19+C20+C21</f>
        <v>937140.39999999991</v>
      </c>
    </row>
    <row r="19" spans="1:9" ht="15.75" customHeight="1">
      <c r="B19" s="58" t="s">
        <v>236</v>
      </c>
      <c r="C19" s="84">
        <f>Asset_Model!E58</f>
        <v>1468.2</v>
      </c>
      <c r="D19" s="219">
        <f>C19/(Dashboard!I5/Data!C4)</f>
        <v>4.0493133264813427E-4</v>
      </c>
      <c r="E19" s="85" t="s">
        <v>338</v>
      </c>
      <c r="G19" s="197">
        <f>(G18+MIN(D4,0))*Data!C$4/Dashboard!I5</f>
        <v>0.25846445378722627</v>
      </c>
    </row>
    <row r="20" spans="1:9" ht="15.75" customHeight="1">
      <c r="B20" s="58" t="s">
        <v>218</v>
      </c>
      <c r="C20" s="84">
        <f>-Asset_Model!D52</f>
        <v>-3098</v>
      </c>
      <c r="D20" s="219">
        <f>C20/(Dashboard!I5/Data!C4)</f>
        <v>-8.5443214040588475E-4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0.25891395459498401</v>
      </c>
      <c r="G21" s="147">
        <f>SUM(D19:D21)</f>
        <v>-4.4950080775775047E-4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289</v>
      </c>
      <c r="C25" s="14">
        <f>1/D25</f>
        <v>0.2</v>
      </c>
      <c r="D25" s="297">
        <v>5</v>
      </c>
      <c r="E25" s="206">
        <f ca="1">IF(G9&lt;0,G9,G9*D25/G14)</f>
        <v>5.6768819641544774E-2</v>
      </c>
      <c r="F25" s="206">
        <f ca="1">E25+$G$19</f>
        <v>0.31523327342877105</v>
      </c>
      <c r="G25" s="206">
        <f ca="1">ROUND(F25*Exchange_Rate,2)</f>
        <v>0.36</v>
      </c>
      <c r="I25" s="74"/>
    </row>
    <row r="26" spans="1:9" ht="15.75" customHeight="1">
      <c r="B26" s="30" t="s">
        <v>290</v>
      </c>
      <c r="C26" s="349">
        <f>1/D26</f>
        <v>0.16666666666666666</v>
      </c>
      <c r="D26" s="350">
        <v>6</v>
      </c>
      <c r="E26" s="351">
        <f ca="1">IF(G9&lt;0,G9,G9*D26/G14)</f>
        <v>6.812258356985372E-2</v>
      </c>
      <c r="F26" s="351">
        <f ca="1">E26+$G$19</f>
        <v>0.32658703735708</v>
      </c>
      <c r="G26" s="351">
        <f ca="1">ROUND(F26*Exchange_Rate,2)</f>
        <v>0.37</v>
      </c>
      <c r="I26" s="74" t="s">
        <v>299</v>
      </c>
    </row>
    <row r="27" spans="1:9" ht="15.75" customHeight="1">
      <c r="B27" s="301" t="s">
        <v>297</v>
      </c>
      <c r="C27" s="302">
        <f t="shared" ref="C27" si="0">1/D27</f>
        <v>0.125</v>
      </c>
      <c r="D27" s="314">
        <v>8</v>
      </c>
      <c r="E27" s="207">
        <f ca="1">IF(G9&lt;0,G9,G9*D27/G14)</f>
        <v>9.0830111426471627E-2</v>
      </c>
      <c r="F27" s="207">
        <f ca="1">E27+$G$19</f>
        <v>0.34929456521369789</v>
      </c>
      <c r="G27" s="207">
        <f ca="1">ROUND(F27*Exchange_Rate,2)</f>
        <v>0.39</v>
      </c>
      <c r="I27" s="74" t="s">
        <v>298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337</v>
      </c>
      <c r="G29" s="369">
        <f>IF(Asset_Model!D7&lt;G19,Asset_Model!D7,G19)</f>
        <v>0.25846445378722627</v>
      </c>
      <c r="H29" s="12"/>
      <c r="I29" s="90"/>
    </row>
    <row r="30" spans="1:9" ht="15.75" customHeight="1">
      <c r="A30" s="6"/>
      <c r="B30" s="71" t="s">
        <v>147</v>
      </c>
      <c r="C30" s="252">
        <f ca="1">MIN(G29,G25)+(ABS(G29-G25)*'Qualitative Analysis'!E8)</f>
        <v>0.30720151596935769</v>
      </c>
      <c r="D30" s="23" t="str">
        <f ca="1">IF(C30&lt;E30,"&lt;",IF(C30=E30,"=","&gt;"))</f>
        <v>&lt;</v>
      </c>
      <c r="E30" s="251">
        <f ca="1">MAX(G26, G19*Exchange_Rate)</f>
        <v>0.37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 ca="1">MIN(C30,E30)+ABS(C30-E30)*'Qualitative Analysis'!$E$64</f>
        <v>0.33603969055771488</v>
      </c>
      <c r="D33" s="119" t="str">
        <f>Dashboard!J4</f>
        <v>HKD</v>
      </c>
      <c r="E33" s="120">
        <f ca="1">(C33-G19)/C9</f>
        <v>1.508216513097417</v>
      </c>
      <c r="F33" s="158">
        <f ca="1">C33/(Data!C28*Exchange_Rate*Data!C4/Common_Shares)</f>
        <v>0.49657195989352987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0.40563393861687647</v>
      </c>
      <c r="D34" s="208" t="str">
        <f>D33</f>
        <v>HKD</v>
      </c>
      <c r="E34" s="120">
        <f>(C34-G19)/C9</f>
        <v>2.8612667712611892</v>
      </c>
      <c r="F34" s="158">
        <f>C34/(Data!C28*Exchange_Rate*Data!C4/Common_Shares)</f>
        <v>0.59941264546462592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272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300</v>
      </c>
    </row>
    <row r="4" spans="1:7" ht="14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269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270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301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302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303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304</v>
      </c>
    </row>
    <row r="26" spans="2:7" ht="15" customHeight="1">
      <c r="B26" s="53" t="s">
        <v>275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276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277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278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279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296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280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281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282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283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305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284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285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286</v>
      </c>
      <c r="D54" s="104">
        <f t="array" ref="D54">(1-INDEX(B68:E77,MATCH(E54,B68:B77,0),4))*4</f>
        <v>2.3129251700680271</v>
      </c>
      <c r="E54" s="31" t="s">
        <v>336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2023-05-30T02:14:36Z</dcterms:modified>
  <cp:category/>
  <cp:contentStatus/>
</cp:coreProperties>
</file>