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17333EC4-930B-48F3-8E96-45F2EF6056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 l="1"/>
  <c r="F41" i="1"/>
  <c r="F39" i="1"/>
  <c r="F43" i="1"/>
  <c r="F40" i="1"/>
  <c r="I36" i="1" l="1"/>
  <c r="B16" i="1"/>
  <c r="E26" i="1"/>
  <c r="C36" i="1"/>
  <c r="B18" i="1"/>
  <c r="E7" i="3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E9" i="7" l="1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C29" i="4" l="1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D33" i="2" s="1"/>
  <c r="D34" i="2" s="1"/>
  <c r="I6" i="3"/>
  <c r="E58" i="3"/>
  <c r="D58" i="3" s="1"/>
  <c r="D36" i="5"/>
  <c r="E33" i="2"/>
  <c r="E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 s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E29" i="4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l="1"/>
  <c r="H14" i="1" s="1"/>
  <c r="D30" i="4"/>
  <c r="D14" i="1"/>
  <c r="F46" i="1" s="1"/>
  <c r="F14" i="1"/>
  <c r="I35" i="1" s="1"/>
  <c r="F45" i="1" s="1"/>
  <c r="F42" i="1" s="1"/>
  <c r="E42" i="1" s="1"/>
  <c r="F48" i="1" s="1"/>
  <c r="E49" i="1" l="1"/>
  <c r="F49" i="1"/>
  <c r="E50" i="1" s="1"/>
  <c r="F50" i="1" s="1"/>
  <c r="E33" i="4"/>
  <c r="B17" i="1"/>
  <c r="D17" i="1" s="1"/>
  <c r="J25" i="1" s="1"/>
  <c r="F33" i="4"/>
  <c r="F17" i="1" l="1"/>
  <c r="J17" i="1"/>
  <c r="D18" i="1"/>
  <c r="D16" i="1"/>
</calcChain>
</file>

<file path=xl/sharedStrings.xml><?xml version="1.0" encoding="utf-8"?>
<sst xmlns="http://schemas.openxmlformats.org/spreadsheetml/2006/main" count="411" uniqueCount="348">
  <si>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</si>
  <si>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</si>
  <si>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</si>
  <si>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</si>
  <si>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</si>
  <si>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</si>
  <si>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</si>
  <si>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</si>
  <si>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</si>
  <si>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</si>
  <si>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</si>
  <si>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</si>
  <si>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</si>
  <si>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</si>
  <si>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</si>
  <si>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</si>
  <si>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</si>
  <si>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</si>
  <si>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</si>
  <si>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</si>
  <si>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</si>
  <si>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</si>
  <si>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</si>
  <si>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</si>
  <si>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</si>
  <si>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</si>
  <si>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</si>
  <si>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</si>
  <si>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</si>
  <si>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</si>
  <si>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</si>
  <si>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</si>
  <si>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</si>
  <si>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</si>
  <si>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</si>
  <si>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</si>
  <si>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</si>
  <si>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</si>
  <si>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</si>
  <si>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</si>
  <si>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</si>
  <si>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</si>
  <si>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</si>
  <si>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</si>
  <si>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</si>
  <si>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</si>
  <si>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</si>
  <si>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</si>
  <si>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</si>
  <si>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</si>
  <si>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</si>
  <si>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</si>
  <si>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</si>
  <si>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</si>
  <si>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</si>
  <si>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</si>
  <si>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</si>
  <si>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</si>
  <si>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</si>
  <si>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</si>
  <si>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</si>
  <si>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</si>
  <si>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</si>
  <si>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</si>
  <si>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</si>
  <si>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</si>
  <si>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</si>
  <si>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</si>
  <si>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</si>
  <si>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</si>
  <si>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</si>
  <si>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</si>
  <si>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</si>
  <si>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</si>
  <si>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</si>
  <si>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</si>
  <si>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</si>
  <si>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</si>
  <si>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</si>
  <si>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</si>
  <si>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</si>
  <si>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</si>
  <si>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</si>
  <si>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</si>
  <si>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</si>
  <si>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</si>
  <si>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</si>
  <si>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</si>
  <si>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</si>
  <si>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</si>
  <si>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</si>
  <si>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</si>
  <si>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</si>
  <si>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</si>
  <si>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</si>
  <si>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</si>
  <si>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</si>
  <si>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</si>
  <si>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</si>
  <si>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</si>
  <si>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</si>
  <si>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</si>
  <si>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</si>
  <si>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</si>
  <si>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</si>
  <si>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</si>
  <si>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</si>
  <si>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</si>
  <si>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</si>
  <si>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</si>
  <si>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</si>
  <si>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</si>
  <si>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</si>
  <si>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</si>
  <si>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</si>
  <si>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</si>
  <si>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</si>
  <si>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</si>
  <si>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</si>
  <si>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</si>
  <si>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</si>
  <si>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</si>
  <si>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</si>
  <si>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</si>
  <si>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</si>
  <si>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</si>
  <si>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</si>
  <si>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</si>
  <si>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</si>
  <si>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</si>
  <si>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</si>
  <si>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</si>
  <si>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</si>
  <si>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</si>
  <si>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</si>
  <si>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</si>
  <si>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</si>
  <si>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</si>
  <si>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</si>
  <si>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</si>
  <si>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</si>
  <si>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</si>
  <si>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</si>
  <si>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</si>
  <si>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</si>
  <si>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</si>
  <si>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</si>
  <si>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</si>
  <si>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</si>
  <si>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</si>
  <si>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</si>
  <si>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</si>
  <si>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</si>
  <si>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</si>
  <si>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</si>
  <si>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</si>
  <si>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</si>
  <si>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</si>
  <si>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</si>
  <si>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</si>
  <si>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</si>
  <si>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</si>
  <si>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</si>
  <si>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</si>
  <si>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</si>
  <si>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</si>
  <si>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</si>
  <si>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</si>
  <si>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</si>
  <si>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</si>
  <si>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</si>
  <si>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</si>
  <si>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</si>
  <si>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</si>
  <si>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</si>
  <si>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</si>
  <si>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</si>
  <si>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</si>
  <si>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</si>
  <si>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</si>
  <si>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</si>
  <si>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</si>
  <si>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</si>
  <si>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</si>
  <si>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</si>
  <si>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</si>
  <si>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</si>
  <si>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</si>
  <si>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</si>
  <si>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</si>
  <si>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</si>
  <si>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</si>
  <si>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</si>
  <si>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</si>
  <si>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</si>
  <si>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</si>
  <si>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</si>
  <si>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</si>
  <si>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</si>
  <si>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</si>
  <si>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</si>
  <si>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</si>
  <si>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</si>
  <si>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</si>
  <si>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</si>
  <si>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</si>
  <si>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</si>
  <si>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</si>
  <si>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</si>
  <si>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</si>
  <si>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</si>
  <si>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</si>
  <si>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</si>
  <si>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</si>
  <si>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</si>
  <si>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</si>
  <si>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</si>
  <si>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</si>
  <si>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</si>
  <si>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</si>
  <si>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</si>
  <si>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</si>
  <si>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</si>
  <si>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</si>
  <si>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</si>
  <si>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</si>
  <si>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</si>
  <si>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</si>
  <si>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</si>
  <si>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</si>
  <si>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</si>
  <si>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</si>
  <si>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</si>
  <si>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</si>
  <si>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</si>
  <si>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</si>
  <si>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</si>
  <si>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</si>
  <si>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</si>
  <si>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</si>
  <si>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</si>
  <si>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</si>
  <si>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</si>
  <si>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</si>
  <si>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</si>
  <si>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</si>
  <si>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</si>
  <si>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</si>
  <si>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</si>
  <si>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</si>
  <si>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</si>
  <si>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</si>
  <si>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</si>
  <si>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</si>
  <si>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</si>
  <si>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</si>
  <si>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</si>
  <si>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</si>
  <si>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</si>
  <si>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</si>
  <si>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</si>
  <si>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</si>
  <si>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</si>
  <si>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</si>
  <si>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</si>
  <si>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</si>
  <si>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</si>
  <si>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</si>
  <si>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</si>
  <si>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</si>
  <si>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</si>
  <si>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</si>
  <si>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</si>
  <si>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</si>
  <si>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</si>
  <si>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</si>
  <si>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</si>
  <si>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</si>
  <si>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</si>
  <si>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</si>
  <si>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</si>
  <si>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</si>
  <si>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</si>
  <si>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</si>
  <si>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</si>
  <si>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</si>
  <si>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</si>
  <si>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</si>
  <si>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</si>
  <si>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</si>
  <si>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</si>
  <si>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</si>
  <si>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</si>
  <si>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</si>
  <si>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</si>
  <si>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</si>
  <si>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</si>
  <si>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</si>
  <si>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</si>
  <si>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</si>
  <si>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</si>
  <si>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</si>
  <si>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</si>
  <si>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</si>
  <si>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</si>
  <si>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</si>
  <si>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</si>
  <si>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</si>
  <si>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</si>
  <si>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</si>
  <si>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</si>
  <si>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</si>
  <si>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</si>
  <si>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</si>
  <si>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</si>
  <si>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</si>
  <si>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</si>
  <si>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</si>
  <si>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</si>
  <si>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</si>
  <si>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</si>
  <si>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</si>
  <si>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</si>
  <si>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</si>
  <si>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</si>
  <si>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</si>
  <si>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</si>
  <si>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</si>
  <si>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</si>
  <si>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</si>
  <si>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</si>
  <si>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</si>
  <si>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</si>
  <si>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</si>
  <si>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</si>
  <si>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</si>
  <si>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</si>
  <si>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</si>
  <si>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</si>
  <si>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</si>
  <si>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</si>
  <si>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W = The estimated probability of win</t>
  </si>
  <si>
    <t>3. The business quality rating (proxy for not overestimating the exit)</t>
  </si>
  <si>
    <t>capped at</t>
  </si>
  <si>
    <t>Fast Growers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</si>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</sst>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12" sqref="C12:D1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7" t="s">
        <v>303</v>
      </c>
      <c r="D3" s="398"/>
      <c r="E3" s="15"/>
      <c r="G3" s="7" t="s">
        <v>2</v>
      </c>
      <c r="I3" s="407" t="s">
        <v>3</v>
      </c>
      <c r="J3" s="408"/>
    </row>
    <row r="4" spans="1:12" ht="15.75" customHeight="1" x14ac:dyDescent="0.3">
      <c r="B4" s="5" t="s">
        <v>4</v>
      </c>
      <c r="C4" s="399" t="s">
        <v>304</v>
      </c>
      <c r="D4" s="400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401">
        <v>44987</v>
      </c>
      <c r="D5" s="400"/>
      <c r="E5" s="122" t="str">
        <f ca="1">IF(C5+30&gt;=TODAY(),"Patience Premium","")</f>
        <v>Patience Premium</v>
      </c>
      <c r="G5" s="5" t="s">
        <v>8</v>
      </c>
      <c r="I5" s="409">
        <v>7913203590</v>
      </c>
      <c r="J5" s="410"/>
      <c r="K5" s="151"/>
      <c r="L5" s="85"/>
    </row>
    <row r="6" spans="1:12" ht="15.75" customHeight="1" x14ac:dyDescent="0.3">
      <c r="B6" s="12" t="s">
        <v>251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1">
        <f>I4*I5/1000000</f>
        <v>130567.859235</v>
      </c>
      <c r="J6" s="412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299" t="s">
        <v>269</v>
      </c>
      <c r="D10" s="299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2" t="s">
        <v>272</v>
      </c>
      <c r="C11" s="421">
        <f ca="1">C12-D10</f>
        <v>6.6799999999999998E-2</v>
      </c>
      <c r="D11" s="422"/>
      <c r="E11" s="13"/>
      <c r="G11" s="5" t="s">
        <v>15</v>
      </c>
      <c r="H11" s="6"/>
      <c r="I11" s="419" t="s">
        <v>305</v>
      </c>
      <c r="J11" s="420"/>
    </row>
    <row r="12" spans="1:12" ht="15.75" customHeight="1" thickTop="1" x14ac:dyDescent="0.3">
      <c r="B12" s="313" t="s">
        <v>145</v>
      </c>
      <c r="C12" s="375">
        <f ca="1">IF(C10="CN",8%,6%)*IF($C$5+30&gt;=TODAY(),1.2,1)</f>
        <v>9.6000000000000002E-2</v>
      </c>
      <c r="D12" s="376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85">
        <v>0.1</v>
      </c>
      <c r="D16" s="159">
        <f ca="1">IF(B17='FCFF Model'!G19,"Asset Play", H14/B16-1-C16)</f>
        <v>9.2824349864347816E-2</v>
      </c>
      <c r="E16" s="380">
        <f>'FCFF Model'!D11*Exchange_Rate</f>
        <v>0</v>
      </c>
      <c r="F16" s="161">
        <f>E16/B16</f>
        <v>0</v>
      </c>
      <c r="G16" s="388" t="s">
        <v>25</v>
      </c>
      <c r="H16" s="413">
        <f>('FCFF Model'!G19)*Exchange_Rate</f>
        <v>-2.308568405350901</v>
      </c>
      <c r="I16" s="388" t="s">
        <v>26</v>
      </c>
      <c r="J16" s="206">
        <f>B16-$H$16</f>
        <v>18.808568405350901</v>
      </c>
    </row>
    <row r="17" spans="1:10" ht="15.75" customHeight="1" x14ac:dyDescent="0.3">
      <c r="B17" s="289">
        <f ca="1">MAX(H14/(1+C16),'FCFF Model'!G19*Exchange_Rate)</f>
        <v>17.892365247965216</v>
      </c>
      <c r="C17" s="386"/>
      <c r="D17" s="288">
        <f ca="1">IF(B17='FCFF Model'!G19,"Asset Play",H14/B17-1-C16)</f>
        <v>8.3266726846886741E-17</v>
      </c>
      <c r="E17" s="381"/>
      <c r="F17" s="162">
        <f ca="1">E16/B17</f>
        <v>0</v>
      </c>
      <c r="G17" s="389"/>
      <c r="H17" s="414"/>
      <c r="I17" s="389"/>
      <c r="J17" s="205">
        <f ca="1">B17-$H$16</f>
        <v>20.200933653316117</v>
      </c>
    </row>
    <row r="18" spans="1:10" ht="15.75" customHeight="1" x14ac:dyDescent="0.3">
      <c r="B18" s="355">
        <f>C35</f>
        <v>15</v>
      </c>
      <c r="C18" s="387"/>
      <c r="D18" s="160">
        <f ca="1">IF(B17='FCFF Model'!G19,"Asset Play", H14/B18-1-C16)</f>
        <v>0.21210678485078258</v>
      </c>
      <c r="E18" s="382"/>
      <c r="F18" s="163">
        <f>E16/B18</f>
        <v>0</v>
      </c>
      <c r="G18" s="390"/>
      <c r="H18" s="415"/>
      <c r="I18" s="390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0" t="s">
        <v>344</v>
      </c>
      <c r="E20" s="266" t="s">
        <v>259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4"/>
      <c r="D21" s="405"/>
      <c r="E21" s="405"/>
      <c r="F21" s="405"/>
      <c r="G21" s="405"/>
      <c r="H21" s="405"/>
      <c r="I21" s="405"/>
      <c r="J21" s="406"/>
    </row>
    <row r="22" spans="1:10" ht="52.5" customHeight="1" x14ac:dyDescent="0.3">
      <c r="A22" s="6"/>
      <c r="B22" s="24" t="s">
        <v>29</v>
      </c>
      <c r="C22" s="417"/>
      <c r="D22" s="418"/>
      <c r="E22" s="418"/>
      <c r="F22" s="418"/>
      <c r="G22" s="417"/>
      <c r="H22" s="417"/>
      <c r="I22" s="418"/>
      <c r="J22" s="418"/>
    </row>
    <row r="23" spans="1:10" ht="52.5" customHeight="1" x14ac:dyDescent="0.3">
      <c r="A23" s="6"/>
      <c r="B23" s="25" t="s">
        <v>30</v>
      </c>
      <c r="C23" s="383"/>
      <c r="D23" s="384"/>
      <c r="E23" s="384"/>
      <c r="F23" s="384"/>
      <c r="G23" s="383"/>
      <c r="H23" s="383"/>
      <c r="I23" s="384"/>
      <c r="J23" s="38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53">
        <v>0.15</v>
      </c>
      <c r="I25" s="30" t="s">
        <v>318</v>
      </c>
      <c r="J25" s="354">
        <f ca="1">IF(D17="Asset Play", 'FCFF Model'!G19, H14/(H25+C16+1))</f>
        <v>15.745281418209391</v>
      </c>
    </row>
    <row r="26" spans="1:10" ht="15.75" customHeight="1" x14ac:dyDescent="0.3">
      <c r="B26" s="23" t="s">
        <v>33</v>
      </c>
      <c r="C26" s="402"/>
      <c r="D26" s="403"/>
      <c r="E26" s="394" t="str">
        <f>IF(C26="","","Action_Planning")</f>
        <v/>
      </c>
      <c r="F26" s="395"/>
      <c r="G26" s="395"/>
      <c r="H26" s="396"/>
      <c r="I26" s="416" t="s">
        <v>34</v>
      </c>
      <c r="J26" s="416"/>
    </row>
    <row r="27" spans="1:10" ht="15.75" customHeight="1" x14ac:dyDescent="0.3">
      <c r="B27" s="23" t="s">
        <v>35</v>
      </c>
      <c r="C27" s="379">
        <f>C31/D25</f>
        <v>5.5E-2</v>
      </c>
      <c r="D27" s="378"/>
      <c r="E27" s="377">
        <f>E31/D25</f>
        <v>0.1</v>
      </c>
      <c r="F27" s="378"/>
      <c r="G27" s="392">
        <f>G31/D25</f>
        <v>0</v>
      </c>
      <c r="H27" s="393"/>
      <c r="I27" s="391">
        <f>C27+E27+G27</f>
        <v>0.155</v>
      </c>
      <c r="J27" s="391"/>
    </row>
    <row r="28" spans="1:10" ht="15.75" customHeight="1" x14ac:dyDescent="0.3">
      <c r="B28" s="23" t="s">
        <v>36</v>
      </c>
      <c r="C28" s="368">
        <v>2000</v>
      </c>
      <c r="D28" s="418"/>
      <c r="E28" s="368">
        <v>4000</v>
      </c>
      <c r="F28" s="418"/>
      <c r="G28" s="409"/>
      <c r="H28" s="410"/>
      <c r="I28" s="433">
        <f>C28+E28+G28</f>
        <v>6000</v>
      </c>
      <c r="J28" s="433"/>
    </row>
    <row r="29" spans="1:10" ht="15.75" customHeight="1" x14ac:dyDescent="0.3">
      <c r="B29" s="23" t="s">
        <v>37</v>
      </c>
      <c r="C29" s="443">
        <v>16.5</v>
      </c>
      <c r="D29" s="418"/>
      <c r="E29" s="443">
        <v>15</v>
      </c>
      <c r="F29" s="418"/>
      <c r="G29" s="423"/>
      <c r="H29" s="424"/>
      <c r="I29" s="429"/>
      <c r="J29" s="429"/>
    </row>
    <row r="30" spans="1:10" ht="15.75" customHeight="1" x14ac:dyDescent="0.3">
      <c r="B30" s="23" t="s">
        <v>38</v>
      </c>
      <c r="C30" s="431">
        <f>C29*$I$5/1000000</f>
        <v>130567.859235</v>
      </c>
      <c r="D30" s="438"/>
      <c r="E30" s="431">
        <f>E29*$I$5/1000000</f>
        <v>118698.05385</v>
      </c>
      <c r="F30" s="438"/>
      <c r="G30" s="425">
        <f>G29*$I$5/1000000</f>
        <v>0</v>
      </c>
      <c r="H30" s="426"/>
      <c r="I30" s="430"/>
      <c r="J30" s="430"/>
    </row>
    <row r="31" spans="1:10" ht="15.75" customHeight="1" x14ac:dyDescent="0.3">
      <c r="B31" s="2" t="s">
        <v>39</v>
      </c>
      <c r="C31" s="439">
        <f>C28*C29</f>
        <v>33000</v>
      </c>
      <c r="D31" s="440"/>
      <c r="E31" s="432">
        <f>E28*E29</f>
        <v>60000</v>
      </c>
      <c r="F31" s="441"/>
      <c r="G31" s="427">
        <f>G28*G29</f>
        <v>0</v>
      </c>
      <c r="H31" s="428"/>
      <c r="I31" s="432">
        <f>C31+E31+G31</f>
        <v>93000</v>
      </c>
      <c r="J31" s="432"/>
    </row>
    <row r="32" spans="1:10" ht="15.75" customHeight="1" x14ac:dyDescent="0.3">
      <c r="B32" s="1" t="s">
        <v>40</v>
      </c>
      <c r="C32" s="434"/>
      <c r="D32" s="435"/>
      <c r="E32" s="442">
        <f>IF(C31=0,"-",(C31+E31)/(C28+E28))</f>
        <v>15.5</v>
      </c>
      <c r="F32" s="378"/>
      <c r="G32" s="117"/>
      <c r="H32" s="117"/>
      <c r="I32" s="442">
        <f>IF(I31=0,"",I31/I28)</f>
        <v>15.5</v>
      </c>
      <c r="J32" s="442"/>
    </row>
    <row r="33" spans="2:11" ht="15.75" customHeight="1" x14ac:dyDescent="0.3">
      <c r="B33" s="1" t="s">
        <v>41</v>
      </c>
      <c r="C33" s="436"/>
      <c r="D33" s="437"/>
      <c r="E33" s="431">
        <f>IF(E32="-","-",E32*$I$5/1000000)</f>
        <v>122654.65564500001</v>
      </c>
      <c r="F33" s="438"/>
      <c r="G33" s="118"/>
      <c r="H33" s="118"/>
      <c r="I33" s="431">
        <f>IF(I32="","",I32*$I$5/1000000)</f>
        <v>122654.65564500001</v>
      </c>
      <c r="J33" s="431"/>
    </row>
    <row r="34" spans="2:11" ht="15.75" customHeight="1" x14ac:dyDescent="0.3"/>
    <row r="35" spans="2:11" ht="15.75" customHeight="1" x14ac:dyDescent="0.3">
      <c r="B35" s="146" t="s">
        <v>319</v>
      </c>
      <c r="C35" s="366">
        <v>15</v>
      </c>
      <c r="D35" s="367"/>
      <c r="G35" s="370" t="s">
        <v>321</v>
      </c>
      <c r="H35" s="371"/>
      <c r="I35" s="366">
        <f ca="1">F14</f>
        <v>27.059421720758852</v>
      </c>
      <c r="J35" s="367"/>
    </row>
    <row r="36" spans="2:11" ht="15.75" customHeight="1" x14ac:dyDescent="0.3">
      <c r="B36" s="146" t="s">
        <v>320</v>
      </c>
      <c r="C36" s="368">
        <f>E28</f>
        <v>4000</v>
      </c>
      <c r="D36" s="369"/>
      <c r="G36" s="372" t="s">
        <v>331</v>
      </c>
      <c r="H36" s="372"/>
      <c r="I36" s="373">
        <f>IF(C26="",0,I35/C29-1)</f>
        <v>0</v>
      </c>
      <c r="J36" s="374"/>
    </row>
    <row r="37" spans="2:11" ht="15.75" customHeight="1" x14ac:dyDescent="0.3"/>
    <row r="38" spans="2:11" ht="15.75" customHeight="1" x14ac:dyDescent="0.3">
      <c r="B38" s="21" t="s">
        <v>332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335</v>
      </c>
      <c r="F39" s="214">
        <f>'Qualitative Analysis'!E8</f>
        <v>0.6</v>
      </c>
      <c r="G39" s="364"/>
      <c r="H39" s="116"/>
      <c r="I39" s="116"/>
      <c r="J39" s="116"/>
    </row>
    <row r="40" spans="2:11" ht="15.75" customHeight="1" x14ac:dyDescent="0.3">
      <c r="B40" s="3" t="s">
        <v>334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3">
      <c r="B41" s="3" t="s">
        <v>342</v>
      </c>
      <c r="E41" s="358"/>
      <c r="F41" s="361">
        <f>'Qualitative Analysis'!E64</f>
        <v>0.62807823129251705</v>
      </c>
      <c r="G41" s="364" t="s">
        <v>333</v>
      </c>
      <c r="H41" s="116"/>
      <c r="I41" s="116"/>
      <c r="J41" s="116"/>
    </row>
    <row r="42" spans="2:11" ht="15.75" customHeight="1" x14ac:dyDescent="0.3">
      <c r="B42" s="3" t="s">
        <v>345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336</v>
      </c>
      <c r="H42" s="74"/>
      <c r="I42" s="74"/>
      <c r="J42" s="74"/>
    </row>
    <row r="43" spans="2:11" ht="15.75" customHeight="1" x14ac:dyDescent="0.3">
      <c r="B43" s="3" t="s">
        <v>346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337</v>
      </c>
      <c r="F45" s="361">
        <f ca="1">I35/C29-1</f>
        <v>0.63996495277326382</v>
      </c>
    </row>
    <row r="46" spans="2:11" ht="15.75" customHeight="1" x14ac:dyDescent="0.3">
      <c r="B46" s="3" t="s">
        <v>338</v>
      </c>
      <c r="F46" s="361">
        <f ca="1">D14/C29-1</f>
        <v>-0.5622787461175982</v>
      </c>
    </row>
    <row r="47" spans="2:11" ht="15.75" customHeight="1" x14ac:dyDescent="0.3"/>
    <row r="48" spans="2:11" ht="15.75" customHeight="1" x14ac:dyDescent="0.3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339</v>
      </c>
      <c r="E49" s="363">
        <f ca="1">F45/ABS(F46)</f>
        <v>1.1381631569609745</v>
      </c>
      <c r="F49" s="360">
        <f ca="1">IF(F46&gt;=0,100,F45/ABS(F46))</f>
        <v>1.1381631569609745</v>
      </c>
      <c r="G49" s="74"/>
    </row>
    <row r="50" spans="2:8" ht="15.75" customHeight="1" x14ac:dyDescent="0.3">
      <c r="B50" s="3" t="s">
        <v>340</v>
      </c>
      <c r="E50" s="107">
        <f ca="1">MAX(F48-ABS((1-F48)/F49),0)/2</f>
        <v>0.18591132955695014</v>
      </c>
      <c r="F50" s="359">
        <f ca="1">MIN(E50,H50)</f>
        <v>0.18591132955695014</v>
      </c>
      <c r="G50" s="362" t="s">
        <v>343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8" sqref="D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294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254</v>
      </c>
      <c r="C3" s="6"/>
      <c r="D3" s="273">
        <v>28961421</v>
      </c>
      <c r="E3" s="156" t="str">
        <f>IF((C46-I46)=D3,"", "Error!")</f>
        <v/>
      </c>
      <c r="F3" s="6"/>
      <c r="G3" s="6"/>
      <c r="H3" s="274" t="s">
        <v>255</v>
      </c>
      <c r="I3" s="275">
        <v>19149976</v>
      </c>
      <c r="K3" s="74"/>
    </row>
    <row r="4" spans="1:11" ht="15" customHeight="1" x14ac:dyDescent="0.3">
      <c r="B4" s="5" t="s">
        <v>221</v>
      </c>
      <c r="C4" s="6"/>
      <c r="D4" s="276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322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323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324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1">
        <v>44926</v>
      </c>
      <c r="E9" s="290" t="s">
        <v>347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325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329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326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330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327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4">
        <f>D53+D54+D55</f>
        <v>8694432</v>
      </c>
      <c r="E52" s="445"/>
      <c r="F52" s="53"/>
      <c r="G52" s="53"/>
    </row>
    <row r="53" spans="2:9" ht="14.5" thickTop="1" x14ac:dyDescent="0.3">
      <c r="B53" s="58" t="s">
        <v>231</v>
      </c>
      <c r="C53" s="6"/>
      <c r="D53" s="447">
        <f>SUM(I11:I13)+SUM(I28:I30)</f>
        <v>8694432</v>
      </c>
      <c r="E53" s="440"/>
      <c r="F53" s="5"/>
      <c r="G53" s="5"/>
      <c r="H53" s="3" t="s">
        <v>328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52">
        <v>0</v>
      </c>
      <c r="E54" s="41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2">
        <v>0</v>
      </c>
      <c r="E55" s="41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6"/>
      <c r="E57" s="446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50">
        <f>((Dashboard!I6*Data!C4)+D52+E50-C58-C59)</f>
        <v>128260855.23500001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260</v>
      </c>
    </row>
    <row r="63" spans="2:9" ht="15" customHeight="1" x14ac:dyDescent="0.3">
      <c r="B63" s="3" t="s">
        <v>263</v>
      </c>
      <c r="D63" s="373">
        <f>((C26-C11-C12-C14-C15-C16*G16-C19*G19-C20*G20)-I26)/Data!C7</f>
        <v>-0.64687443506582265</v>
      </c>
      <c r="E63" s="374"/>
    </row>
    <row r="64" spans="2:9" ht="15" customHeight="1" x14ac:dyDescent="0.3">
      <c r="B64" s="3" t="s">
        <v>262</v>
      </c>
      <c r="D64" s="448">
        <v>6.3399999999999998E-2</v>
      </c>
      <c r="E64" s="449"/>
      <c r="F64" s="266" t="s">
        <v>247</v>
      </c>
    </row>
    <row r="65" spans="2:5" ht="15" customHeight="1" x14ac:dyDescent="0.3">
      <c r="B65" s="291" t="s">
        <v>264</v>
      </c>
      <c r="D65" s="448">
        <f>D63</f>
        <v>-0.64687443506582265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5" t="s">
        <v>258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1000USD)</v>
      </c>
      <c r="C3" s="277">
        <f>Dashboard!E6</f>
        <v>44926</v>
      </c>
      <c r="D3" s="28" t="s">
        <v>246</v>
      </c>
      <c r="E3" s="277">
        <f>EOMONTH(EDATE(C3,12),0)</f>
        <v>45291</v>
      </c>
      <c r="F3" s="28" t="s">
        <v>246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136</v>
      </c>
    </row>
    <row r="4" spans="1:13" ht="15.75" customHeight="1" x14ac:dyDescent="0.3">
      <c r="B4" s="292" t="s">
        <v>306</v>
      </c>
      <c r="C4" s="293">
        <v>4982237</v>
      </c>
      <c r="D4" s="260">
        <f>C4/C6</f>
        <v>0.91532876780782757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307</v>
      </c>
      <c r="C5" s="293">
        <v>460875</v>
      </c>
      <c r="D5" s="260">
        <f>C5/C6</f>
        <v>8.4671232192172416E-2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7">
        <f>1621300+1907000+3745058</f>
        <v>7273358</v>
      </c>
      <c r="F6" s="259"/>
      <c r="G6" s="337"/>
      <c r="H6" s="259"/>
      <c r="I6" s="228"/>
      <c r="J6" s="287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29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0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1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 x14ac:dyDescent="0.3">
      <c r="B15" s="134" t="s">
        <v>242</v>
      </c>
      <c r="C15" s="319">
        <f>C10-C12</f>
        <v>777915</v>
      </c>
      <c r="D15" s="320"/>
      <c r="E15" s="319">
        <f>E10-E12</f>
        <v>1675981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 x14ac:dyDescent="0.3">
      <c r="B16" s="315" t="s">
        <v>143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 x14ac:dyDescent="0.3">
      <c r="B17" s="324" t="s">
        <v>301</v>
      </c>
      <c r="C17" s="264">
        <f>C18/C8</f>
        <v>0.15486681325985271</v>
      </c>
      <c r="D17" s="326"/>
      <c r="E17" s="325">
        <f>E18/E8</f>
        <v>0.27860974378252146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 x14ac:dyDescent="0.3">
      <c r="B18" s="321" t="s">
        <v>80</v>
      </c>
      <c r="C18" s="322">
        <f>IF(C15&lt;=0,C15,C15*(1-C16))</f>
        <v>583436.25</v>
      </c>
      <c r="D18" s="322"/>
      <c r="E18" s="323">
        <f>IF(E15="","",IF(E15&lt;=0,E15,E15*(1-E16)))</f>
        <v>1256985.75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E30" sqref="E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258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266</v>
      </c>
      <c r="C7" s="309">
        <f>C4*C6</f>
        <v>225323.07975</v>
      </c>
      <c r="D7" s="309">
        <f>D4*D6</f>
        <v>485447.89665000001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5">
        <f>D8/(Common_Shares/Data!$C$4)</f>
        <v>9.7500063605718501E-2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5"/>
      <c r="F12" s="345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(G18+MIN(D4,0))*Data!C$4/Dashboard!I5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55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55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9" t="s">
        <v>226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7">
        <v>20</v>
      </c>
      <c r="E25" s="206">
        <f ca="1">G9*D25/G14</f>
        <v>1.6233560592885623</v>
      </c>
      <c r="F25" s="456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49">
        <f>1/D26</f>
        <v>2.2222222222222223E-2</v>
      </c>
      <c r="D26" s="350">
        <v>45</v>
      </c>
      <c r="E26" s="351">
        <f ca="1">G9*D26/G14</f>
        <v>3.6525511333992653</v>
      </c>
      <c r="F26" s="457"/>
      <c r="G26" s="351">
        <f ca="1">$F$25+E26+$G$19</f>
        <v>3.447397142838577</v>
      </c>
      <c r="I26" s="74" t="s">
        <v>310</v>
      </c>
    </row>
    <row r="27" spans="1:9" ht="15.75" customHeight="1" x14ac:dyDescent="0.3">
      <c r="B27" s="301" t="s">
        <v>308</v>
      </c>
      <c r="C27" s="302">
        <f t="shared" ref="C27" si="0">1/D27</f>
        <v>1.8181818181818181E-2</v>
      </c>
      <c r="D27" s="314">
        <v>55</v>
      </c>
      <c r="E27" s="207">
        <f ca="1">G9*D27/G14</f>
        <v>4.4642291630435462</v>
      </c>
      <c r="F27" s="458"/>
      <c r="G27" s="207">
        <f ca="1">$F$25+E27+$G$19</f>
        <v>4.2590751724828584</v>
      </c>
      <c r="I27" s="74" t="s">
        <v>309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84">
        <f>Asset_Model!D7+IF(D8&lt;0,D8,0)</f>
        <v>1.3583050519827629</v>
      </c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MAX(G26*Exchange_Rate, G19*Exchange_Rate)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148</v>
      </c>
      <c r="D32" s="454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37.573776809160464</v>
      </c>
      <c r="D34" s="208" t="str">
        <f>D33</f>
        <v>HKD</v>
      </c>
      <c r="E34" s="120">
        <f ca="1">(C34-G19)/C9</f>
        <v>836.7643349081975</v>
      </c>
      <c r="F34" s="158">
        <f ca="1">C34/(Data!C28*Exchange_Rate*Data!C4/Common_Shares)</f>
        <v>1.4891024990025841</v>
      </c>
      <c r="G34" s="280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B64" sqref="B6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311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4" t="s">
        <v>312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4" t="s">
        <v>313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4" t="s">
        <v>314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4" t="s">
        <v>315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4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4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4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4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4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4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4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4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4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4" t="s">
        <v>316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4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4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4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4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2023-03-24T02:29:53Z</dcterms:modified>
  <cp:category/>
  <cp:contentStatus/>
</cp:coreProperties>
</file>