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5A661DF5-9A40-4C8A-9BB0-CAA62DD6328B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" i="7" l="1"/>
  <c r="E6" i="1"/>
  <c r="F41" i="1"/>
  <c r="F39" i="1"/>
  <c r="F40" i="1"/>
  <c r="E26" i="1"/>
  <c r="C12" i="1"/>
  <c r="C35" i="1"/>
  <c r="B18" i="1" s="1"/>
  <c r="C36" i="1"/>
  <c r="E7" i="3"/>
  <c r="E16" i="1" l="1"/>
  <c r="C11" i="4" l="1"/>
  <c r="C14" i="7"/>
  <c r="E14" i="7" s="1"/>
  <c r="C8" i="7"/>
  <c r="E7" i="7"/>
  <c r="G7" i="7" s="1"/>
  <c r="E6" i="7"/>
  <c r="G6" i="7" s="1"/>
  <c r="E5" i="7"/>
  <c r="G5" i="7" s="1"/>
  <c r="E4" i="7"/>
  <c r="E8" i="7" s="1"/>
  <c r="G4" i="7" l="1"/>
  <c r="G8" i="7"/>
  <c r="E13" i="7"/>
  <c r="D12" i="4"/>
  <c r="G34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C29" i="4" l="1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7" i="3" s="1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E7" i="4" s="1"/>
  <c r="E8" i="4" s="1"/>
  <c r="D7" i="4"/>
  <c r="D8" i="4" s="1"/>
  <c r="D9" i="4" s="1"/>
  <c r="D10" i="4" s="1"/>
  <c r="D5" i="4"/>
  <c r="F8" i="4"/>
  <c r="F9" i="4" s="1"/>
  <c r="F15" i="4" s="1"/>
  <c r="F5" i="4"/>
  <c r="E5" i="4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6" i="5"/>
  <c r="E6" i="5" s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J44" i="3"/>
  <c r="D18" i="5"/>
  <c r="D57" i="2"/>
  <c r="E57" i="2" s="1"/>
  <c r="F57" i="2"/>
  <c r="B58" i="2"/>
  <c r="D50" i="3" l="1"/>
  <c r="D6" i="3"/>
  <c r="D7" i="3" s="1"/>
  <c r="C21" i="4"/>
  <c r="D60" i="3"/>
  <c r="D58" i="2"/>
  <c r="E58" i="2" s="1"/>
  <c r="F58" i="2"/>
  <c r="B59" i="2"/>
  <c r="D21" i="4" l="1"/>
  <c r="G21" i="4" s="1"/>
  <c r="G18" i="4"/>
  <c r="G19" i="4" s="1"/>
  <c r="D49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4" i="4" s="1"/>
  <c r="I35" i="1" s="1"/>
  <c r="E25" i="4"/>
  <c r="G25" i="4" s="1"/>
  <c r="E26" i="4"/>
  <c r="G26" i="4" s="1"/>
  <c r="E30" i="4" s="1"/>
  <c r="I36" i="1" l="1"/>
  <c r="F45" i="1"/>
  <c r="G15" i="4"/>
  <c r="F42" i="1" l="1"/>
  <c r="E42" i="1" s="1"/>
  <c r="F48" i="1" s="1"/>
  <c r="F34" i="4"/>
  <c r="E34" i="4" l="1"/>
  <c r="C11" i="1"/>
  <c r="D12" i="5"/>
  <c r="D5" i="5" l="1"/>
  <c r="E5" i="5" s="1"/>
  <c r="E64" i="5"/>
  <c r="D64" i="5" l="1"/>
  <c r="E7" i="5" l="1"/>
  <c r="D7" i="5" s="1"/>
  <c r="D8" i="5" s="1"/>
  <c r="E8" i="5" s="1"/>
  <c r="C30" i="4" l="1"/>
  <c r="D30" i="4" s="1"/>
  <c r="D14" i="1" l="1"/>
  <c r="F46" i="1" s="1"/>
  <c r="F14" i="1"/>
  <c r="C33" i="4"/>
  <c r="F49" i="1" l="1"/>
  <c r="E50" i="1" s="1"/>
  <c r="F50" i="1" s="1"/>
  <c r="E49" i="1"/>
  <c r="H14" i="1"/>
  <c r="F33" i="4"/>
  <c r="E33" i="4"/>
  <c r="J25" i="1" l="1"/>
  <c r="D18" i="1"/>
  <c r="B17" i="1"/>
  <c r="D16" i="1"/>
  <c r="D17" i="1" l="1"/>
  <c r="J17" i="1"/>
  <c r="F17" i="1"/>
</calcChain>
</file>

<file path=xl/sharedStrings.xml><?xml version="1.0" encoding="utf-8"?>
<sst xmlns="http://schemas.openxmlformats.org/spreadsheetml/2006/main" count="437" uniqueCount="371">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</sst>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  <xf numFmtId="174" fontId="2" fillId="0" borderId="9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7" sqref="E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0" t="s">
        <v>303</v>
      </c>
      <c r="D3" s="411"/>
      <c r="E3" s="15"/>
      <c r="G3" s="7" t="s">
        <v>2</v>
      </c>
      <c r="I3" s="422" t="s">
        <v>3</v>
      </c>
      <c r="J3" s="423"/>
    </row>
    <row r="4" spans="1:12" ht="15.75" customHeight="1" x14ac:dyDescent="0.3">
      <c r="B4" s="5" t="s">
        <v>4</v>
      </c>
      <c r="C4" s="412" t="s">
        <v>304</v>
      </c>
      <c r="D4" s="413"/>
      <c r="E4" s="6"/>
      <c r="G4" s="5" t="s">
        <v>5</v>
      </c>
      <c r="I4" s="32">
        <v>10.64</v>
      </c>
      <c r="J4" s="33" t="s">
        <v>6</v>
      </c>
      <c r="K4" s="172"/>
    </row>
    <row r="5" spans="1:12" ht="15.75" customHeight="1" x14ac:dyDescent="0.3">
      <c r="B5" s="5" t="s">
        <v>7</v>
      </c>
      <c r="C5" s="414">
        <v>44956</v>
      </c>
      <c r="D5" s="413"/>
      <c r="E5" s="142" t="str">
        <f ca="1">IF(C5+30&gt;=TODAY(),"Patience Premium","")</f>
        <v/>
      </c>
      <c r="G5" s="5" t="s">
        <v>8</v>
      </c>
      <c r="I5" s="405">
        <v>8061262157</v>
      </c>
      <c r="J5" s="406"/>
      <c r="K5" s="171"/>
      <c r="L5" s="106"/>
    </row>
    <row r="6" spans="1:12" ht="15.75" customHeight="1" x14ac:dyDescent="0.3">
      <c r="B6" s="12" t="s">
        <v>281</v>
      </c>
      <c r="C6" s="289">
        <v>8</v>
      </c>
      <c r="D6" s="290">
        <f>EOMONTH(EDATE(Asset_Model!D9,C6),0)</f>
        <v>45169</v>
      </c>
      <c r="E6" s="362">
        <f>IF(Asset_Model!E9="FY",Asset_Model!D9,Data!C3)</f>
        <v>44742</v>
      </c>
      <c r="G6" s="154" t="s">
        <v>9</v>
      </c>
      <c r="H6" s="153"/>
      <c r="I6" s="424">
        <f>I4*I5/1000000</f>
        <v>85771.829350480009</v>
      </c>
      <c r="J6" s="425"/>
      <c r="K6" s="171"/>
    </row>
    <row r="7" spans="1:12" ht="15.75" customHeight="1" x14ac:dyDescent="0.3">
      <c r="B7" s="159" t="s">
        <v>10</v>
      </c>
      <c r="C7" s="165">
        <f>(Data!C39)/I4</f>
        <v>3.5602446900392604E-2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19"/>
      <c r="D9" s="317"/>
      <c r="E9" s="5"/>
      <c r="G9" s="5" t="s">
        <v>13</v>
      </c>
      <c r="I9" s="141">
        <f>IF(Data!F3&lt;=0,"NNI",I4/((Data!F3*I12)/(I5/Data!C4)))</f>
        <v>14.95482253544132</v>
      </c>
      <c r="J9" s="48">
        <f>IF(I9="NNI","NNI",1/I9)</f>
        <v>6.6868061966640371E-2</v>
      </c>
    </row>
    <row r="10" spans="1:12" ht="15.75" customHeight="1" x14ac:dyDescent="0.3">
      <c r="B10" s="3" t="s">
        <v>298</v>
      </c>
      <c r="C10" s="318" t="s">
        <v>346</v>
      </c>
      <c r="D10" s="318">
        <v>3.8159999999999999E-2</v>
      </c>
      <c r="E10" s="5"/>
      <c r="G10" s="5" t="s">
        <v>14</v>
      </c>
      <c r="I10" s="158">
        <f>I4/(Data!C28*I12*Data!C4/Common_Shares)</f>
        <v>0.54207567675447133</v>
      </c>
      <c r="J10" s="150">
        <f>IF(Asset_Model!D60/'FCFF Model'!C4&lt;0,"Negative EV",Asset_Model!D60/'FCFF Model'!C4)</f>
        <v>4.642352753811009</v>
      </c>
    </row>
    <row r="11" spans="1:12" ht="15.75" customHeight="1" thickBot="1" x14ac:dyDescent="0.35">
      <c r="B11" s="331" t="s">
        <v>299</v>
      </c>
      <c r="C11" s="436">
        <f ca="1">C12-D10</f>
        <v>4.1840000000000002E-2</v>
      </c>
      <c r="D11" s="437"/>
      <c r="E11" s="13"/>
      <c r="G11" s="5" t="s">
        <v>15</v>
      </c>
      <c r="H11" s="6"/>
      <c r="I11" s="434" t="s">
        <v>6</v>
      </c>
      <c r="J11" s="435"/>
    </row>
    <row r="12" spans="1:12" ht="15.75" customHeight="1" thickTop="1" x14ac:dyDescent="0.3">
      <c r="B12" s="332" t="s">
        <v>174</v>
      </c>
      <c r="C12" s="438">
        <f ca="1">IF(C10="US",6%,8%)*IF($C$5+30&gt;=TODAY(),1.2,1)</f>
        <v>0.08</v>
      </c>
      <c r="D12" s="439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10.64</v>
      </c>
      <c r="C16" s="445">
        <v>0.1</v>
      </c>
      <c r="D16" s="179">
        <f ca="1">H14/B16-1-C16</f>
        <v>-7.131359346348512E-2</v>
      </c>
      <c r="E16" s="442">
        <f>'FCFF Model'!D11*Exchange_Rate</f>
        <v>0.56000000000000005</v>
      </c>
      <c r="F16" s="181">
        <f>E16/B16</f>
        <v>5.2631578947368425E-2</v>
      </c>
      <c r="G16" s="429" t="s">
        <v>25</v>
      </c>
      <c r="H16" s="426">
        <f>('FCFF Model'!G19)*Exchange_Rate</f>
        <v>5.9834442351159485</v>
      </c>
      <c r="I16" s="429" t="s">
        <v>26</v>
      </c>
      <c r="J16" s="226">
        <f>B16-$H$16</f>
        <v>4.6565557648840521</v>
      </c>
    </row>
    <row r="17" spans="1:10" ht="15.75" customHeight="1" x14ac:dyDescent="0.3">
      <c r="B17" s="309">
        <f ca="1">H14/(1+C16)</f>
        <v>9.9502030595895619</v>
      </c>
      <c r="C17" s="446"/>
      <c r="D17" s="308">
        <f ca="1">H14/B17-1-C16</f>
        <v>0</v>
      </c>
      <c r="E17" s="443"/>
      <c r="F17" s="182">
        <f ca="1">E16/B17</f>
        <v>5.6280258467720119E-2</v>
      </c>
      <c r="G17" s="430"/>
      <c r="H17" s="427"/>
      <c r="I17" s="430"/>
      <c r="J17" s="225">
        <f ca="1">B17-$H$16</f>
        <v>3.9667588244736134</v>
      </c>
    </row>
    <row r="18" spans="1:10" ht="15.75" customHeight="1" x14ac:dyDescent="0.3">
      <c r="B18" s="364">
        <f>C35</f>
        <v>9.9</v>
      </c>
      <c r="C18" s="447"/>
      <c r="D18" s="180">
        <f ca="1">H14/B18-1-C16</f>
        <v>5.5781177321735098E-3</v>
      </c>
      <c r="E18" s="444"/>
      <c r="F18" s="183">
        <f>E16/B18</f>
        <v>5.6565656565656569E-2</v>
      </c>
      <c r="G18" s="431"/>
      <c r="H18" s="428"/>
      <c r="I18" s="431"/>
      <c r="J18" s="227">
        <f>B18-$H$16</f>
        <v>3.9165557648840519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0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7" t="s">
        <v>305</v>
      </c>
      <c r="D21" s="418"/>
      <c r="E21" s="418"/>
      <c r="F21" s="418"/>
      <c r="G21" s="418"/>
      <c r="H21" s="418"/>
      <c r="I21" s="418"/>
      <c r="J21" s="419"/>
    </row>
    <row r="22" spans="1:10" ht="52.5" customHeight="1" x14ac:dyDescent="0.3">
      <c r="A22" s="6"/>
      <c r="B22" s="24" t="s">
        <v>29</v>
      </c>
      <c r="C22" s="433" t="s">
        <v>307</v>
      </c>
      <c r="D22" s="381"/>
      <c r="E22" s="381"/>
      <c r="F22" s="381"/>
      <c r="G22" s="433" t="s">
        <v>309</v>
      </c>
      <c r="H22" s="433"/>
      <c r="I22" s="381"/>
      <c r="J22" s="381"/>
    </row>
    <row r="23" spans="1:10" ht="52.5" customHeight="1" x14ac:dyDescent="0.3">
      <c r="A23" s="6"/>
      <c r="B23" s="25" t="s">
        <v>30</v>
      </c>
      <c r="C23" s="420" t="s">
        <v>308</v>
      </c>
      <c r="D23" s="421"/>
      <c r="E23" s="421"/>
      <c r="F23" s="421"/>
      <c r="G23" s="420" t="s">
        <v>310</v>
      </c>
      <c r="H23" s="420"/>
      <c r="I23" s="421"/>
      <c r="J23" s="42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3">
        <v>0.15</v>
      </c>
      <c r="I25" s="30" t="s">
        <v>342</v>
      </c>
      <c r="J25" s="365">
        <f ca="1">H14/(H25+C16+1)</f>
        <v>8.7561786924388141</v>
      </c>
    </row>
    <row r="26" spans="1:10" ht="15.75" customHeight="1" x14ac:dyDescent="0.3">
      <c r="B26" s="23" t="s">
        <v>33</v>
      </c>
      <c r="C26" s="415">
        <v>44970</v>
      </c>
      <c r="D26" s="416"/>
      <c r="E26" s="451" t="str">
        <f>IF(C26="","","Action_Planning")</f>
        <v>Action_Planning</v>
      </c>
      <c r="F26" s="452"/>
      <c r="G26" s="452"/>
      <c r="H26" s="453"/>
      <c r="I26" s="432" t="s">
        <v>34</v>
      </c>
      <c r="J26" s="432"/>
    </row>
    <row r="27" spans="1:10" ht="15.75" customHeight="1" x14ac:dyDescent="0.3">
      <c r="B27" s="23" t="s">
        <v>35</v>
      </c>
      <c r="C27" s="441">
        <f>C31/D25</f>
        <v>6.8733333333333327E-2</v>
      </c>
      <c r="D27" s="404"/>
      <c r="E27" s="440">
        <f>E31/D25</f>
        <v>8.2500000000000004E-2</v>
      </c>
      <c r="F27" s="404"/>
      <c r="G27" s="449">
        <f>G31/D25</f>
        <v>0.26666666666666666</v>
      </c>
      <c r="H27" s="450"/>
      <c r="I27" s="448">
        <f>C27+E27+G27</f>
        <v>0.41789999999999999</v>
      </c>
      <c r="J27" s="448"/>
    </row>
    <row r="28" spans="1:10" ht="15.75" customHeight="1" x14ac:dyDescent="0.3">
      <c r="B28" s="23" t="s">
        <v>36</v>
      </c>
      <c r="C28" s="376">
        <v>4000</v>
      </c>
      <c r="D28" s="381"/>
      <c r="E28" s="376">
        <v>5000</v>
      </c>
      <c r="F28" s="381"/>
      <c r="G28" s="405">
        <v>20000</v>
      </c>
      <c r="H28" s="406"/>
      <c r="I28" s="409">
        <f>C28+E28+G28</f>
        <v>29000</v>
      </c>
      <c r="J28" s="409"/>
    </row>
    <row r="29" spans="1:10" ht="15.75" customHeight="1" x14ac:dyDescent="0.3">
      <c r="B29" s="23" t="s">
        <v>37</v>
      </c>
      <c r="C29" s="380">
        <v>10.31</v>
      </c>
      <c r="D29" s="381"/>
      <c r="E29" s="380">
        <v>9.9</v>
      </c>
      <c r="F29" s="381"/>
      <c r="G29" s="382">
        <v>8</v>
      </c>
      <c r="H29" s="383"/>
      <c r="I29" s="407"/>
      <c r="J29" s="407"/>
    </row>
    <row r="30" spans="1:10" ht="15.75" customHeight="1" x14ac:dyDescent="0.3">
      <c r="B30" s="23" t="s">
        <v>38</v>
      </c>
      <c r="C30" s="378">
        <f>C29*$I$5/1000000</f>
        <v>83111.61283867</v>
      </c>
      <c r="D30" s="388"/>
      <c r="E30" s="378">
        <f>E29*$I$5/1000000</f>
        <v>79806.495354300001</v>
      </c>
      <c r="F30" s="388"/>
      <c r="G30" s="391">
        <f>G29*$I$5/1000000</f>
        <v>64490.097256000001</v>
      </c>
      <c r="H30" s="392"/>
      <c r="I30" s="408"/>
      <c r="J30" s="408"/>
    </row>
    <row r="31" spans="1:10" ht="15.75" customHeight="1" x14ac:dyDescent="0.3">
      <c r="B31" s="2" t="s">
        <v>39</v>
      </c>
      <c r="C31" s="400">
        <f>C28*C29</f>
        <v>41240</v>
      </c>
      <c r="D31" s="401"/>
      <c r="E31" s="402">
        <f>E28*E29</f>
        <v>49500</v>
      </c>
      <c r="F31" s="403"/>
      <c r="G31" s="393">
        <f>G28*G29</f>
        <v>160000</v>
      </c>
      <c r="H31" s="394"/>
      <c r="I31" s="402">
        <f>C31+E31+G31</f>
        <v>250740</v>
      </c>
      <c r="J31" s="402"/>
    </row>
    <row r="32" spans="1:10" ht="15.75" customHeight="1" x14ac:dyDescent="0.3">
      <c r="B32" s="1" t="s">
        <v>40</v>
      </c>
      <c r="C32" s="398"/>
      <c r="D32" s="399"/>
      <c r="E32" s="379">
        <f>IF(C31=0,"-",(C31+E31)/(C28+E28))</f>
        <v>10.082222222222223</v>
      </c>
      <c r="F32" s="404"/>
      <c r="G32" s="137"/>
      <c r="H32" s="137"/>
      <c r="I32" s="379">
        <f>IF(I31=0,"",I31/I28)</f>
        <v>8.6462068965517247</v>
      </c>
      <c r="J32" s="379"/>
    </row>
    <row r="33" spans="2:10" ht="15.75" customHeight="1" x14ac:dyDescent="0.3">
      <c r="B33" s="1" t="s">
        <v>41</v>
      </c>
      <c r="C33" s="389"/>
      <c r="D33" s="390"/>
      <c r="E33" s="378">
        <f>IF(E32="-","-",E32*$I$5/1000000)</f>
        <v>81275.43645846445</v>
      </c>
      <c r="F33" s="388"/>
      <c r="G33" s="138"/>
      <c r="H33" s="138"/>
      <c r="I33" s="378">
        <f>IF(I32="","",I32*$I$5/1000000)</f>
        <v>69699.340456764825</v>
      </c>
      <c r="J33" s="378"/>
    </row>
    <row r="34" spans="2:10" ht="15.75" customHeight="1" x14ac:dyDescent="0.3"/>
    <row r="35" spans="2:10" ht="15.75" customHeight="1" x14ac:dyDescent="0.3">
      <c r="B35" s="166" t="s">
        <v>343</v>
      </c>
      <c r="C35" s="384">
        <f>E29</f>
        <v>9.9</v>
      </c>
      <c r="D35" s="385"/>
      <c r="G35" s="386" t="s">
        <v>345</v>
      </c>
      <c r="H35" s="387"/>
      <c r="I35" s="384">
        <f ca="1">'FCFF Model'!C34*0.9</f>
        <v>12.347246296726411</v>
      </c>
      <c r="J35" s="385"/>
    </row>
    <row r="36" spans="2:10" ht="15.75" customHeight="1" x14ac:dyDescent="0.3">
      <c r="B36" s="166" t="s">
        <v>344</v>
      </c>
      <c r="C36" s="376">
        <f>E28</f>
        <v>5000</v>
      </c>
      <c r="D36" s="377"/>
      <c r="G36" s="395" t="s">
        <v>355</v>
      </c>
      <c r="H36" s="395"/>
      <c r="I36" s="396">
        <f ca="1">IF(C26="",0,I35/C29-1)</f>
        <v>0.1975990588483425</v>
      </c>
      <c r="J36" s="397"/>
    </row>
    <row r="37" spans="2:10" ht="15.75" customHeight="1" x14ac:dyDescent="0.3"/>
    <row r="38" spans="2:10" ht="15.75" customHeight="1" x14ac:dyDescent="0.3">
      <c r="B38" s="21" t="s">
        <v>356</v>
      </c>
      <c r="G38" s="367" t="s">
        <v>165</v>
      </c>
      <c r="H38" s="153"/>
      <c r="I38" s="153"/>
      <c r="J38" s="153"/>
    </row>
    <row r="39" spans="2:10" ht="15.75" customHeight="1" x14ac:dyDescent="0.3">
      <c r="B39" s="3" t="s">
        <v>357</v>
      </c>
      <c r="F39" s="234">
        <f>'Qualitative Analysis'!E8</f>
        <v>0.47000000000000003</v>
      </c>
      <c r="G39" s="368"/>
      <c r="H39" s="136"/>
      <c r="I39" s="136"/>
      <c r="J39" s="136"/>
    </row>
    <row r="40" spans="2:10" ht="15.75" customHeight="1" x14ac:dyDescent="0.3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69"/>
      <c r="F41" s="370">
        <f>'Qualitative Analysis'!E64</f>
        <v>0.56680272108843543</v>
      </c>
      <c r="G41" s="368" t="s">
        <v>360</v>
      </c>
      <c r="H41" s="136"/>
      <c r="I41" s="136"/>
      <c r="J41" s="136"/>
    </row>
    <row r="42" spans="2:10" ht="15.75" customHeight="1" x14ac:dyDescent="0.3">
      <c r="B42" s="3" t="s">
        <v>368</v>
      </c>
      <c r="E42" s="369">
        <f ca="1">IF(F42="Strongly disagree",0,IF(F42="disagree",1,IF(F42="So-so",2,IF(F42="agree",3,4))))/4</f>
        <v>0.5</v>
      </c>
      <c r="F42" s="358" t="str">
        <f ca="1">IF(F45&lt;D10,"Strongly Disagree",IF(F45&lt;10%,"Disagree",IF(F45&gt;=30%,"Strongly Agree",IF(F45&gt;=20%,"Agree","So-so"))))</f>
        <v>So-so</v>
      </c>
      <c r="G42" s="95" t="s">
        <v>361</v>
      </c>
      <c r="H42" s="95"/>
      <c r="I42" s="95"/>
      <c r="J42" s="95"/>
    </row>
    <row r="43" spans="2:10" ht="15.75" customHeight="1" x14ac:dyDescent="0.3">
      <c r="B43" s="3" t="s">
        <v>369</v>
      </c>
      <c r="F43" s="371">
        <v>0.7</v>
      </c>
      <c r="G43" s="136"/>
      <c r="H43" s="136"/>
      <c r="I43" s="136"/>
      <c r="J43" s="136"/>
    </row>
    <row r="44" spans="2:10" ht="15.75" customHeight="1" x14ac:dyDescent="0.3"/>
    <row r="45" spans="2:10" ht="15.75" customHeight="1" x14ac:dyDescent="0.3">
      <c r="B45" s="3" t="s">
        <v>362</v>
      </c>
      <c r="F45" s="370">
        <f ca="1">I35/C29-1</f>
        <v>0.1975990588483425</v>
      </c>
    </row>
    <row r="46" spans="2:10" ht="15.75" customHeight="1" x14ac:dyDescent="0.3">
      <c r="B46" s="3" t="s">
        <v>363</v>
      </c>
      <c r="F46" s="370">
        <f ca="1">D14/C29-1</f>
        <v>1.1617546645199539E-2</v>
      </c>
    </row>
    <row r="47" spans="2:10" ht="15.75" customHeight="1" x14ac:dyDescent="0.3"/>
    <row r="48" spans="2:10" ht="15.75" customHeight="1" x14ac:dyDescent="0.3">
      <c r="B48" s="3" t="s">
        <v>364</v>
      </c>
      <c r="F48" s="234">
        <f ca="1">IF(F45&lt;=0,0,AVERAGE(F39:F41,1-F43,E42))</f>
        <v>0.52736054421768708</v>
      </c>
      <c r="G48" s="95"/>
    </row>
    <row r="49" spans="2:8" ht="15.75" customHeight="1" x14ac:dyDescent="0.3">
      <c r="B49" s="3" t="s">
        <v>365</v>
      </c>
      <c r="E49" s="372">
        <f ca="1">F45/ABS(F46)</f>
        <v>17.008673593748124</v>
      </c>
      <c r="F49" s="373">
        <f ca="1">IF(F46&gt;=0,100,F45/ABS(F46))</f>
        <v>100</v>
      </c>
      <c r="G49" s="95"/>
    </row>
    <row r="50" spans="2:8" ht="15.75" customHeight="1" x14ac:dyDescent="0.3">
      <c r="B50" s="3" t="s">
        <v>366</v>
      </c>
      <c r="E50" s="127">
        <f ca="1">MAX(F48-ABS((1-F48)/F49),0)/2</f>
        <v>0.26131707482993199</v>
      </c>
      <c r="F50" s="374">
        <f ca="1">MIN(E50,H50)</f>
        <v>0.26131707482993199</v>
      </c>
      <c r="G50" s="375" t="s">
        <v>367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8">
        <f>C3</f>
        <v>44742</v>
      </c>
      <c r="D6" s="299">
        <f>EOMONTH(EDATE(C6,-12),0)</f>
        <v>44377</v>
      </c>
      <c r="E6" s="299">
        <f t="shared" ref="E6:M6" si="0">EOMONTH(EDATE(D6,-12),0)</f>
        <v>44012</v>
      </c>
      <c r="F6" s="299">
        <f t="shared" si="0"/>
        <v>43646</v>
      </c>
      <c r="G6" s="299">
        <f t="shared" si="0"/>
        <v>43281</v>
      </c>
      <c r="H6" s="299">
        <f t="shared" si="0"/>
        <v>42916</v>
      </c>
      <c r="I6" s="299">
        <f t="shared" si="0"/>
        <v>42551</v>
      </c>
      <c r="J6" s="299">
        <f t="shared" si="0"/>
        <v>42185</v>
      </c>
      <c r="K6" s="299">
        <f t="shared" si="0"/>
        <v>41820</v>
      </c>
      <c r="L6" s="299">
        <f t="shared" si="0"/>
        <v>41455</v>
      </c>
      <c r="M6" s="299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2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4" t="s">
        <v>79</v>
      </c>
      <c r="E49" s="381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5">
        <v>5</v>
      </c>
      <c r="E51" s="456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7" t="s">
        <v>83</v>
      </c>
      <c r="E52" s="458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3">
        <v>160090995.734</v>
      </c>
      <c r="E3" s="176" t="str">
        <f>IF((C46-I46)=D3,"", "Error!")</f>
        <v/>
      </c>
      <c r="F3" s="6"/>
      <c r="G3" s="6"/>
      <c r="H3" s="294" t="s">
        <v>285</v>
      </c>
      <c r="I3" s="295">
        <v>159323330.11500001</v>
      </c>
    </row>
    <row r="4" spans="1:10" ht="15" customHeight="1" x14ac:dyDescent="0.3">
      <c r="B4" s="5" t="s">
        <v>251</v>
      </c>
      <c r="C4" s="6"/>
      <c r="D4" s="296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E46-I46-E50+MIN('FCFF Model'!D4,0)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1">
        <v>44926</v>
      </c>
      <c r="E9" s="310" t="s">
        <v>370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59">
        <f>D53+D54+D55</f>
        <v>6739518.3509999998</v>
      </c>
      <c r="E52" s="460"/>
      <c r="F52" s="53"/>
      <c r="G52" s="53"/>
    </row>
    <row r="53" spans="2:9" ht="14.5" thickTop="1" x14ac:dyDescent="0.3">
      <c r="B53" s="79" t="s">
        <v>261</v>
      </c>
      <c r="C53" s="6"/>
      <c r="D53" s="462">
        <f>SUM(I11:I13)+SUM(I28:I30)</f>
        <v>6739518.3509999998</v>
      </c>
      <c r="E53" s="401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67">
        <v>0</v>
      </c>
      <c r="E54" s="381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67">
        <v>0</v>
      </c>
      <c r="E55" s="381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61"/>
      <c r="E57" s="461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65">
        <f>((Dashboard!I6*Data!C4)+D52+E50-C58-C59)</f>
        <v>24805821.987479992</v>
      </c>
      <c r="E60" s="46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1" t="s">
        <v>290</v>
      </c>
    </row>
    <row r="63" spans="2:9" ht="15" customHeight="1" x14ac:dyDescent="0.3">
      <c r="B63" s="3" t="s">
        <v>293</v>
      </c>
      <c r="D63" s="396">
        <f>((C26-C11-C12-C14-C15-C16*G16-C19*G19-C20*G20)-I26)/Data!C7</f>
        <v>0.5934554144758829</v>
      </c>
      <c r="E63" s="397"/>
    </row>
    <row r="64" spans="2:9" ht="15" customHeight="1" x14ac:dyDescent="0.3">
      <c r="B64" s="3" t="s">
        <v>292</v>
      </c>
      <c r="D64" s="463">
        <v>8.5599999999999996E-2</v>
      </c>
      <c r="E64" s="464"/>
      <c r="F64" s="286" t="s">
        <v>277</v>
      </c>
    </row>
    <row r="65" spans="2:5" ht="15" customHeight="1" x14ac:dyDescent="0.3">
      <c r="B65" s="311" t="s">
        <v>294</v>
      </c>
      <c r="D65" s="463">
        <v>0.15</v>
      </c>
      <c r="E65" s="46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C2045A1-FAF4-4B57-8467-004F9BBABF79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5" t="s">
        <v>288</v>
      </c>
      <c r="D2" s="305"/>
      <c r="E2" s="305">
        <v>1</v>
      </c>
      <c r="F2" s="305"/>
      <c r="G2" s="305">
        <v>2</v>
      </c>
      <c r="H2" s="12"/>
      <c r="I2" s="305">
        <v>3</v>
      </c>
      <c r="J2" s="305"/>
      <c r="K2" s="12"/>
      <c r="L2" s="12"/>
    </row>
    <row r="3" spans="1:13" ht="15.75" customHeight="1" x14ac:dyDescent="0.3">
      <c r="B3" s="29" t="str">
        <f>'FCFF Model'!B3</f>
        <v>(Numbers in 1000HKD)</v>
      </c>
      <c r="C3" s="297">
        <f>Dashboard!E6</f>
        <v>44742</v>
      </c>
      <c r="D3" s="28" t="s">
        <v>276</v>
      </c>
      <c r="E3" s="297">
        <f>EOMONTH(EDATE(C3,12),0)</f>
        <v>45107</v>
      </c>
      <c r="F3" s="28" t="s">
        <v>276</v>
      </c>
      <c r="G3" s="297">
        <f>IF(G9="","",EOMONTH(EDATE(E3,12),0))</f>
        <v>45473</v>
      </c>
      <c r="H3" s="28"/>
      <c r="I3" s="297" t="str">
        <f>IF(I16="","",EOMONTH(EDATE(G3,12),0))</f>
        <v/>
      </c>
      <c r="J3" s="315"/>
      <c r="L3" s="93" t="s">
        <v>165</v>
      </c>
    </row>
    <row r="4" spans="1:13" ht="15.75" customHeight="1" x14ac:dyDescent="0.3">
      <c r="B4" s="312" t="s">
        <v>311</v>
      </c>
      <c r="C4" s="357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6"/>
      <c r="K4" s="6"/>
      <c r="L4" s="95"/>
      <c r="M4" s="78"/>
    </row>
    <row r="5" spans="1:13" ht="15.75" customHeight="1" x14ac:dyDescent="0.3">
      <c r="B5" s="312" t="s">
        <v>312</v>
      </c>
      <c r="C5" s="357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6"/>
      <c r="K5" s="6"/>
      <c r="L5" s="95"/>
      <c r="M5" s="78"/>
    </row>
    <row r="6" spans="1:13" ht="15.75" customHeight="1" x14ac:dyDescent="0.3">
      <c r="B6" s="312" t="s">
        <v>313</v>
      </c>
      <c r="C6" s="357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6"/>
      <c r="K6" s="6"/>
      <c r="L6" s="95"/>
      <c r="M6" s="78"/>
    </row>
    <row r="7" spans="1:13" ht="15.75" customHeight="1" x14ac:dyDescent="0.3">
      <c r="B7" s="312" t="s">
        <v>314</v>
      </c>
      <c r="C7" s="357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6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6">
        <f>SUM(E4:E7)</f>
        <v>10444481.390000001</v>
      </c>
      <c r="F8" s="279"/>
      <c r="G8" s="356">
        <f>SUM(G4:G7)</f>
        <v>13584683.287</v>
      </c>
      <c r="H8" s="279"/>
      <c r="I8" s="248"/>
      <c r="J8" s="307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6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1">
        <f>IF(G8="","",G8*(1-G11))</f>
        <v>6792341.6435000002</v>
      </c>
      <c r="H10" s="282"/>
      <c r="I10" s="301" t="str">
        <f>IF(I8="","",I8*(1-I11))</f>
        <v/>
      </c>
      <c r="J10" s="347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8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49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0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1"/>
      <c r="K16" s="6"/>
      <c r="L16" s="98"/>
      <c r="M16" s="99"/>
    </row>
    <row r="17" spans="2:13" ht="15.75" customHeight="1" x14ac:dyDescent="0.3">
      <c r="B17" s="154" t="s">
        <v>272</v>
      </c>
      <c r="C17" s="338">
        <f>C12-C14</f>
        <v>7124497.2259999989</v>
      </c>
      <c r="D17" s="339"/>
      <c r="E17" s="338">
        <f>E12-E14</f>
        <v>3094712.9636000008</v>
      </c>
      <c r="F17" s="339"/>
      <c r="G17" s="338">
        <f>IF(G9="","",G12-G14)</f>
        <v>5569720.1476700008</v>
      </c>
      <c r="H17" s="339"/>
      <c r="I17" s="338" t="str">
        <f>IF(I9="","",I12-I14)</f>
        <v/>
      </c>
      <c r="J17" s="352"/>
      <c r="K17" s="6"/>
      <c r="L17" s="100"/>
      <c r="M17" s="77"/>
    </row>
    <row r="18" spans="2:13" ht="15.75" customHeight="1" x14ac:dyDescent="0.3">
      <c r="B18" s="334" t="s">
        <v>172</v>
      </c>
      <c r="C18" s="335">
        <v>0.25</v>
      </c>
      <c r="D18" s="336"/>
      <c r="E18" s="337">
        <f>IF(E17="","",C18)</f>
        <v>0.25</v>
      </c>
      <c r="F18" s="337"/>
      <c r="G18" s="337">
        <f>IF(G17="","",E18)</f>
        <v>0.25</v>
      </c>
      <c r="H18" s="337"/>
      <c r="I18" s="337" t="str">
        <f>IF(I17="","",G18)</f>
        <v/>
      </c>
      <c r="J18" s="353"/>
    </row>
    <row r="19" spans="2:13" ht="15.75" customHeight="1" x14ac:dyDescent="0.3">
      <c r="B19" s="343" t="s">
        <v>302</v>
      </c>
      <c r="C19" s="208"/>
      <c r="D19" s="345"/>
      <c r="E19" s="344">
        <f>E20/C20-1</f>
        <v>-0.56562366923153307</v>
      </c>
      <c r="F19" s="344"/>
      <c r="G19" s="344">
        <f>IF(G20="","",G20/E20-1)</f>
        <v>0.79975339011437319</v>
      </c>
      <c r="H19" s="344"/>
      <c r="I19" s="344" t="str">
        <f>IF(I20="","",I20/G20-1)</f>
        <v/>
      </c>
      <c r="J19" s="354"/>
    </row>
    <row r="20" spans="2:13" ht="15.75" customHeight="1" x14ac:dyDescent="0.3">
      <c r="B20" s="340" t="s">
        <v>100</v>
      </c>
      <c r="C20" s="341">
        <f>IF(C17&lt;=0,C17,C17*(1-C18))</f>
        <v>5343372.9194999989</v>
      </c>
      <c r="D20" s="341"/>
      <c r="E20" s="342">
        <f>IF(E17="","",IF(E17&lt;=0,E17,E17*(1-E18)))</f>
        <v>2321034.7227000007</v>
      </c>
      <c r="F20" s="341"/>
      <c r="G20" s="342">
        <f>IF(G17="","",IF(G17&lt;=0,G17,G17*(1-G18)))</f>
        <v>4177290.1107525006</v>
      </c>
      <c r="H20" s="341"/>
      <c r="I20" s="342" t="str">
        <f>IF(I17="","",IF(I17&lt;=0,I17,I17*(1-I18)))</f>
        <v/>
      </c>
      <c r="J20" s="355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topLeftCell="A19" zoomScaleNormal="100" zoomScalePageLayoutView="80" workbookViewId="0">
      <selection activeCell="D33" sqref="D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5" t="s">
        <v>288</v>
      </c>
      <c r="D2" s="305">
        <v>1</v>
      </c>
      <c r="E2" s="305">
        <v>2</v>
      </c>
      <c r="F2" s="305">
        <v>3</v>
      </c>
      <c r="G2" s="305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7">
        <f>Operation!C3</f>
        <v>44742</v>
      </c>
      <c r="D3" s="297">
        <f>Operation!E3</f>
        <v>45107</v>
      </c>
      <c r="E3" s="297">
        <f>Operation!G3</f>
        <v>45473</v>
      </c>
      <c r="F3" s="297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2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7"/>
      <c r="G6" s="219"/>
      <c r="H6" s="6"/>
      <c r="I6" s="98"/>
    </row>
    <row r="7" spans="1:10" ht="15" customHeight="1" thickBot="1" x14ac:dyDescent="0.35">
      <c r="B7" s="102" t="s">
        <v>296</v>
      </c>
      <c r="C7" s="328">
        <f>C4*C6</f>
        <v>1442710.6882649998</v>
      </c>
      <c r="D7" s="328">
        <f>D4*D6</f>
        <v>626679.37512900028</v>
      </c>
      <c r="E7" s="329">
        <f>E4*E6</f>
        <v>1127868.3299031751</v>
      </c>
      <c r="F7" s="329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4">
        <f>D8/(Common_Shares/Data!$C$4)</f>
        <v>0.21018487112464224</v>
      </c>
      <c r="E9" s="324">
        <f>IF(E8="","",E8/(Common_Shares/Data!$C$4))</f>
        <v>0.37828093435732751</v>
      </c>
      <c r="F9" s="324" t="str">
        <f>IF(F8="","",F8/(Common_Shares/Data!$C$4))</f>
        <v/>
      </c>
      <c r="G9" s="325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0">
        <f>C11/C9</f>
        <v>1.1779844439479163</v>
      </c>
      <c r="D10" s="330">
        <f>D11/D9</f>
        <v>2.6643211616687346</v>
      </c>
      <c r="E10" s="359"/>
      <c r="F10" s="359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3">
        <f>0.42+0.15</f>
        <v>0.56999999999999995</v>
      </c>
      <c r="D11" s="304">
        <v>0.56000000000000005</v>
      </c>
      <c r="E11" s="360"/>
      <c r="F11" s="360"/>
      <c r="G11" s="302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1"/>
      <c r="F12" s="361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0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0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73" t="s">
        <v>256</v>
      </c>
      <c r="F23" s="473"/>
      <c r="G23" s="473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3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6">
        <v>8</v>
      </c>
      <c r="E25" s="226">
        <f ca="1">G9*D25/G14</f>
        <v>2.402332814848648</v>
      </c>
      <c r="F25" s="471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0" t="s">
        <v>339</v>
      </c>
      <c r="C26" s="321">
        <f t="shared" ref="C26" si="0">1/D26</f>
        <v>8.3333333333333329E-2</v>
      </c>
      <c r="D26" s="333">
        <v>12</v>
      </c>
      <c r="E26" s="227">
        <f ca="1">G9*D26/G14</f>
        <v>3.6034992222729718</v>
      </c>
      <c r="F26" s="472"/>
      <c r="G26" s="227">
        <f ca="1">$F$25+E26+$G$19</f>
        <v>10.429776905912007</v>
      </c>
      <c r="I26" s="95" t="s">
        <v>315</v>
      </c>
    </row>
    <row r="27" spans="1:9" ht="15.75" customHeight="1" x14ac:dyDescent="0.3">
      <c r="B27" s="30"/>
      <c r="C27" s="366"/>
      <c r="D27" s="474"/>
      <c r="E27" s="143"/>
      <c r="F27" s="144"/>
      <c r="G27" s="143"/>
      <c r="I27" s="95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 x14ac:dyDescent="0.3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 x14ac:dyDescent="0.3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 x14ac:dyDescent="0.3">
      <c r="C32" s="468" t="s">
        <v>177</v>
      </c>
      <c r="D32" s="469"/>
      <c r="E32" s="30" t="s">
        <v>244</v>
      </c>
      <c r="F32" s="30" t="s">
        <v>18</v>
      </c>
      <c r="G32" s="30"/>
      <c r="H32" s="6"/>
    </row>
    <row r="33" spans="2:9" ht="15.75" customHeight="1" x14ac:dyDescent="0.3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 x14ac:dyDescent="0.3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0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8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8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3"/>
    </row>
    <row r="11" spans="1:7" ht="15" customHeight="1" x14ac:dyDescent="0.3">
      <c r="B11" s="120" t="s">
        <v>183</v>
      </c>
      <c r="C11" s="114"/>
      <c r="E11" s="6"/>
      <c r="G11" s="313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3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3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3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3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3"/>
    </row>
    <row r="17" spans="2:7" ht="15" customHeight="1" x14ac:dyDescent="0.3">
      <c r="B17" s="120" t="s">
        <v>190</v>
      </c>
      <c r="D17" s="38"/>
      <c r="E17" s="23"/>
      <c r="G17" s="313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3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3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3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3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3"/>
    </row>
    <row r="23" spans="2:7" ht="15" customHeight="1" x14ac:dyDescent="0.3">
      <c r="B23" s="120" t="s">
        <v>196</v>
      </c>
      <c r="D23" s="38"/>
      <c r="E23" s="23"/>
      <c r="G23" s="313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3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3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3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3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3"/>
    </row>
    <row r="29" spans="2:7" ht="15" customHeight="1" x14ac:dyDescent="0.3">
      <c r="B29" s="120" t="s">
        <v>200</v>
      </c>
      <c r="D29" s="38"/>
      <c r="E29" s="23"/>
      <c r="G29" s="313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3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3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3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3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3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3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3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3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3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3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3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3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3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3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3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3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3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3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3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3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3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3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3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3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3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3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3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3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3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3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3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3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3"/>
      <c r="H62" s="53"/>
    </row>
    <row r="63" spans="2:8" ht="15" customHeight="1" x14ac:dyDescent="0.3">
      <c r="D63" s="6"/>
      <c r="G63" s="313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3"/>
    </row>
    <row r="65" spans="2:7" ht="15" customHeight="1" x14ac:dyDescent="0.3">
      <c r="G65" s="314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2023-03-24T02:20:22Z</dcterms:modified>
  <cp:category/>
  <cp:contentStatus/>
</cp:coreProperties>
</file>