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8CCC148-82E9-41CA-84E9-FD759C5BDBBF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/>
  <c r="F41" i="1"/>
  <c r="F39" i="1"/>
  <c r="F45" i="1"/>
  <c r="F40" i="1"/>
  <c r="I36" i="1"/>
  <c r="E26" i="1"/>
  <c r="E7" i="3"/>
  <c r="C36" i="1"/>
  <c r="C35" i="1"/>
  <c r="B18" i="1" s="1"/>
  <c r="D11" i="4"/>
  <c r="C11" i="4"/>
  <c r="F42" i="1" l="1"/>
  <c r="E42" i="1" s="1"/>
  <c r="F48" i="1" s="1"/>
  <c r="G17" i="7"/>
  <c r="E17" i="7"/>
  <c r="E13" i="7"/>
  <c r="G10" i="7"/>
  <c r="E10" i="7"/>
  <c r="C9" i="7"/>
  <c r="G8" i="7"/>
  <c r="E8" i="7"/>
  <c r="G7" i="7"/>
  <c r="E7" i="7"/>
  <c r="C6" i="7"/>
  <c r="C11" i="7" s="1"/>
  <c r="G5" i="7"/>
  <c r="E5" i="7"/>
  <c r="G4" i="7"/>
  <c r="E4" i="7"/>
  <c r="E6" i="7" s="1"/>
  <c r="E9" i="7" l="1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C28" i="4" l="1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F46" i="1" s="1"/>
  <c r="C32" i="4"/>
  <c r="H14" i="1" s="1"/>
  <c r="J25" i="1" s="1"/>
  <c r="D29" i="4"/>
  <c r="F49" i="1" l="1"/>
  <c r="E50" i="1" s="1"/>
  <c r="F50" i="1" s="1"/>
  <c r="E49" i="1"/>
  <c r="F32" i="4"/>
  <c r="D16" i="1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<sst xmlns="http://schemas.openxmlformats.org/spreadsheetml/2006/main" count="414" uniqueCount="349">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</sst>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5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2" t="s">
        <v>309</v>
      </c>
      <c r="D3" s="383"/>
      <c r="E3" s="15"/>
      <c r="G3" s="7" t="s">
        <v>2</v>
      </c>
      <c r="I3" s="392" t="s">
        <v>3</v>
      </c>
      <c r="J3" s="393"/>
    </row>
    <row r="4" spans="1:12" ht="15.75" customHeight="1" x14ac:dyDescent="0.3">
      <c r="B4" s="5" t="s">
        <v>4</v>
      </c>
      <c r="C4" s="384" t="s">
        <v>310</v>
      </c>
      <c r="D4" s="385"/>
      <c r="E4" s="6"/>
      <c r="G4" s="5" t="s">
        <v>5</v>
      </c>
      <c r="I4" s="32">
        <v>20.100000000000001</v>
      </c>
      <c r="J4" s="33" t="s">
        <v>6</v>
      </c>
      <c r="K4" s="152"/>
    </row>
    <row r="5" spans="1:12" ht="15.75" customHeight="1" x14ac:dyDescent="0.3">
      <c r="B5" s="5" t="s">
        <v>7</v>
      </c>
      <c r="C5" s="386">
        <v>44956</v>
      </c>
      <c r="D5" s="385"/>
      <c r="E5" s="122" t="str">
        <f ca="1">IF(C5+30&gt;=TODAY(),"Patience Premium","")</f>
        <v/>
      </c>
      <c r="G5" s="5" t="s">
        <v>8</v>
      </c>
      <c r="I5" s="394">
        <v>1451309952</v>
      </c>
      <c r="J5" s="395"/>
      <c r="K5" s="151"/>
      <c r="L5" s="85"/>
    </row>
    <row r="6" spans="1:12" ht="15.75" customHeight="1" x14ac:dyDescent="0.3">
      <c r="B6" s="12" t="s">
        <v>256</v>
      </c>
      <c r="C6" s="269">
        <v>8</v>
      </c>
      <c r="D6" s="270">
        <f>EOMONTH(EDATE(Asset_Model!D9,C6),0)</f>
        <v>44985</v>
      </c>
      <c r="E6" s="348">
        <f>IF(Asset_Model!E9="FY",Asset_Model!D9,Data!C3)</f>
        <v>44561</v>
      </c>
      <c r="G6" s="134" t="s">
        <v>9</v>
      </c>
      <c r="H6" s="133"/>
      <c r="I6" s="396">
        <f>I4*I5/1000000</f>
        <v>29171.330035200001</v>
      </c>
      <c r="J6" s="397"/>
      <c r="K6" s="151"/>
    </row>
    <row r="7" spans="1:12" ht="15.75" customHeight="1" x14ac:dyDescent="0.3">
      <c r="B7" s="139" t="s">
        <v>10</v>
      </c>
      <c r="C7" s="145">
        <f>(Data!C39)/I4</f>
        <v>0.18224160480804596</v>
      </c>
      <c r="D7" s="145">
        <f>(Data!C40)/I4</f>
        <v>1.3847843053866789E-3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8"/>
      <c r="D9" s="296"/>
      <c r="E9" s="5"/>
      <c r="G9" s="5" t="s">
        <v>13</v>
      </c>
      <c r="I9" s="121">
        <f>IF(Data!F3&lt;=0,"NNI",I4/((Data!F3*I12)/(I5/Data!C4)))</f>
        <v>2.8163061455717711</v>
      </c>
      <c r="J9" s="48">
        <f>IF(I9="NNI","NNI",1/I9)</f>
        <v>0.355075033860347</v>
      </c>
    </row>
    <row r="10" spans="1:12" ht="15.75" customHeight="1" x14ac:dyDescent="0.3">
      <c r="B10" s="3" t="s">
        <v>274</v>
      </c>
      <c r="C10" s="297" t="s">
        <v>275</v>
      </c>
      <c r="D10" s="297">
        <v>2.8999999999999998E-2</v>
      </c>
      <c r="E10" s="5"/>
      <c r="G10" s="5" t="s">
        <v>14</v>
      </c>
      <c r="I10" s="138">
        <f>I4/(Data!C28*I12*Data!C4/Common_Shares)</f>
        <v>0.22047192834972398</v>
      </c>
      <c r="J10" s="130">
        <f>IF(Asset_Model!D60/'FCFF Model'!C4&lt;0,"Negative EV",Asset_Model!D60/'FCFF Model'!C4)</f>
        <v>0.50480257615216473</v>
      </c>
    </row>
    <row r="11" spans="1:12" ht="15.75" customHeight="1" thickBot="1" x14ac:dyDescent="0.35">
      <c r="B11" s="310" t="s">
        <v>278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6</v>
      </c>
      <c r="J11" s="405"/>
    </row>
    <row r="12" spans="1:12" ht="15.75" customHeight="1" thickTop="1" x14ac:dyDescent="0.3">
      <c r="B12" s="311" t="s">
        <v>150</v>
      </c>
      <c r="C12" s="360">
        <f ca="1">IF(C10="CN",8%,6%)*IF($C$5+30&gt;=TODAY(),1.2,1)</f>
        <v>0.08</v>
      </c>
      <c r="D12" s="361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20.100000000000001</v>
      </c>
      <c r="C16" s="370">
        <v>0.1</v>
      </c>
      <c r="D16" s="159">
        <f ca="1">H14/B16-1-C16</f>
        <v>-0.17325037787539635</v>
      </c>
      <c r="E16" s="365">
        <f>'FCFF Model'!D11*Exchange_Rate</f>
        <v>1.35</v>
      </c>
      <c r="F16" s="161">
        <f>E16/B16</f>
        <v>6.7164179104477612E-2</v>
      </c>
      <c r="G16" s="373" t="s">
        <v>25</v>
      </c>
      <c r="H16" s="398">
        <f>('FCFF Model'!G19)*Exchange_Rate</f>
        <v>5.9489088537580672</v>
      </c>
      <c r="I16" s="373" t="s">
        <v>26</v>
      </c>
      <c r="J16" s="206">
        <f>B16-$H$16</f>
        <v>14.151091146241935</v>
      </c>
    </row>
    <row r="17" spans="1:10" ht="15.75" customHeight="1" x14ac:dyDescent="0.3">
      <c r="B17" s="289">
        <f ca="1">H14/(1+C16)</f>
        <v>16.934243095185941</v>
      </c>
      <c r="C17" s="371"/>
      <c r="D17" s="288">
        <f ca="1">H14/B17-1-C16</f>
        <v>0</v>
      </c>
      <c r="E17" s="366"/>
      <c r="F17" s="162">
        <f ca="1">E16/B17</f>
        <v>7.9720126397841623E-2</v>
      </c>
      <c r="G17" s="374"/>
      <c r="H17" s="399"/>
      <c r="I17" s="374"/>
      <c r="J17" s="205">
        <f ca="1">B17-$H$16</f>
        <v>10.985334241427875</v>
      </c>
    </row>
    <row r="18" spans="1:10" ht="15.75" customHeight="1" x14ac:dyDescent="0.3">
      <c r="B18" s="349">
        <f>C35</f>
        <v>16.5</v>
      </c>
      <c r="C18" s="372"/>
      <c r="D18" s="160">
        <f ca="1">H14/B18-1-C16</f>
        <v>2.8949539679062747E-2</v>
      </c>
      <c r="E18" s="367"/>
      <c r="F18" s="163">
        <f>E16/B18</f>
        <v>8.1818181818181818E-2</v>
      </c>
      <c r="G18" s="375"/>
      <c r="H18" s="400"/>
      <c r="I18" s="375"/>
      <c r="J18" s="207">
        <f>B18-$H$16</f>
        <v>10.551091146241934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9" t="s">
        <v>311</v>
      </c>
      <c r="D21" s="390"/>
      <c r="E21" s="390"/>
      <c r="F21" s="390"/>
      <c r="G21" s="390"/>
      <c r="H21" s="390"/>
      <c r="I21" s="390"/>
      <c r="J21" s="391"/>
    </row>
    <row r="22" spans="1:10" ht="52.5" customHeight="1" x14ac:dyDescent="0.3">
      <c r="A22" s="6"/>
      <c r="B22" s="24" t="s">
        <v>29</v>
      </c>
      <c r="C22" s="402" t="s">
        <v>313</v>
      </c>
      <c r="D22" s="403"/>
      <c r="E22" s="403"/>
      <c r="F22" s="403"/>
      <c r="G22" s="402" t="s">
        <v>315</v>
      </c>
      <c r="H22" s="402"/>
      <c r="I22" s="403"/>
      <c r="J22" s="403"/>
    </row>
    <row r="23" spans="1:10" ht="52.5" customHeight="1" x14ac:dyDescent="0.3">
      <c r="A23" s="6"/>
      <c r="B23" s="25" t="s">
        <v>30</v>
      </c>
      <c r="C23" s="368" t="s">
        <v>314</v>
      </c>
      <c r="D23" s="369"/>
      <c r="E23" s="369"/>
      <c r="F23" s="369"/>
      <c r="G23" s="368" t="s">
        <v>316</v>
      </c>
      <c r="H23" s="368"/>
      <c r="I23" s="369"/>
      <c r="J23" s="36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0">
        <v>0.15</v>
      </c>
      <c r="I25" s="30" t="s">
        <v>329</v>
      </c>
      <c r="J25" s="351">
        <f ca="1">H14/(H25+C16+1)</f>
        <v>14.902133923763628</v>
      </c>
    </row>
    <row r="26" spans="1:10" ht="15.75" customHeight="1" x14ac:dyDescent="0.3">
      <c r="B26" s="23" t="s">
        <v>33</v>
      </c>
      <c r="C26" s="387"/>
      <c r="D26" s="388"/>
      <c r="E26" s="379" t="str">
        <f>IF(C26="","","Action_Planning")</f>
        <v/>
      </c>
      <c r="F26" s="380"/>
      <c r="G26" s="380"/>
      <c r="H26" s="381"/>
      <c r="I26" s="401" t="s">
        <v>34</v>
      </c>
      <c r="J26" s="401"/>
    </row>
    <row r="27" spans="1:10" ht="15.75" customHeight="1" x14ac:dyDescent="0.3">
      <c r="B27" s="23" t="s">
        <v>35</v>
      </c>
      <c r="C27" s="364">
        <f>C31/D25</f>
        <v>0.11</v>
      </c>
      <c r="D27" s="363"/>
      <c r="E27" s="362">
        <f>E31/D25</f>
        <v>0</v>
      </c>
      <c r="F27" s="363"/>
      <c r="G27" s="377">
        <f>G31/D25</f>
        <v>0</v>
      </c>
      <c r="H27" s="378"/>
      <c r="I27" s="376">
        <f>C27+E27+G27</f>
        <v>0.11</v>
      </c>
      <c r="J27" s="376"/>
    </row>
    <row r="28" spans="1:10" ht="15.75" customHeight="1" x14ac:dyDescent="0.3">
      <c r="B28" s="23" t="s">
        <v>36</v>
      </c>
      <c r="C28" s="412">
        <v>4000</v>
      </c>
      <c r="D28" s="403"/>
      <c r="E28" s="412"/>
      <c r="F28" s="403"/>
      <c r="G28" s="394"/>
      <c r="H28" s="395"/>
      <c r="I28" s="411">
        <f>C28+E28+G28</f>
        <v>4000</v>
      </c>
      <c r="J28" s="411"/>
    </row>
    <row r="29" spans="1:10" ht="15.75" customHeight="1" x14ac:dyDescent="0.3">
      <c r="B29" s="23" t="s">
        <v>37</v>
      </c>
      <c r="C29" s="413">
        <v>16.5</v>
      </c>
      <c r="D29" s="403"/>
      <c r="E29" s="413"/>
      <c r="F29" s="403"/>
      <c r="G29" s="423"/>
      <c r="H29" s="424"/>
      <c r="I29" s="408"/>
      <c r="J29" s="408"/>
    </row>
    <row r="30" spans="1:10" ht="15.75" customHeight="1" x14ac:dyDescent="0.3">
      <c r="B30" s="23" t="s">
        <v>38</v>
      </c>
      <c r="C30" s="414">
        <f>C29*$I$5/1000000</f>
        <v>23946.614207999999</v>
      </c>
      <c r="D30" s="415"/>
      <c r="E30" s="414">
        <f>E29*$I$5/1000000</f>
        <v>0</v>
      </c>
      <c r="F30" s="415"/>
      <c r="G30" s="431">
        <f>G29*$I$5/1000000</f>
        <v>0</v>
      </c>
      <c r="H30" s="432"/>
      <c r="I30" s="409"/>
      <c r="J30" s="409"/>
    </row>
    <row r="31" spans="1:10" ht="15.75" customHeight="1" x14ac:dyDescent="0.3">
      <c r="B31" s="2" t="s">
        <v>39</v>
      </c>
      <c r="C31" s="418">
        <f>C28*C29</f>
        <v>66000</v>
      </c>
      <c r="D31" s="419"/>
      <c r="E31" s="410">
        <f>E28*E29</f>
        <v>0</v>
      </c>
      <c r="F31" s="420"/>
      <c r="G31" s="433">
        <f>G28*G29</f>
        <v>0</v>
      </c>
      <c r="H31" s="434"/>
      <c r="I31" s="410">
        <f>C31+E31+G31</f>
        <v>66000</v>
      </c>
      <c r="J31" s="410"/>
    </row>
    <row r="32" spans="1:10" ht="15.75" customHeight="1" x14ac:dyDescent="0.3">
      <c r="B32" s="1" t="s">
        <v>40</v>
      </c>
      <c r="C32" s="416"/>
      <c r="D32" s="417"/>
      <c r="E32" s="421">
        <f>IF(C31=0,"-",(C31+E31)/(C28+E28))</f>
        <v>16.5</v>
      </c>
      <c r="F32" s="363"/>
      <c r="G32" s="117"/>
      <c r="H32" s="117"/>
      <c r="I32" s="421">
        <f>IF(I31=0,"",I31/I28)</f>
        <v>16.5</v>
      </c>
      <c r="J32" s="421"/>
    </row>
    <row r="33" spans="2:10" ht="15.75" customHeight="1" x14ac:dyDescent="0.3">
      <c r="B33" s="1" t="s">
        <v>41</v>
      </c>
      <c r="C33" s="429"/>
      <c r="D33" s="430"/>
      <c r="E33" s="414">
        <f>IF(E32="-","-",E32*$I$5/1000000)</f>
        <v>23946.614207999999</v>
      </c>
      <c r="F33" s="415"/>
      <c r="G33" s="118"/>
      <c r="H33" s="118"/>
      <c r="I33" s="414">
        <f>IF(I32="","",I32*$I$5/1000000)</f>
        <v>23946.614207999999</v>
      </c>
      <c r="J33" s="414"/>
    </row>
    <row r="34" spans="2:10" ht="15.75" customHeight="1" x14ac:dyDescent="0.3"/>
    <row r="35" spans="2:10" ht="15.75" customHeight="1" x14ac:dyDescent="0.3">
      <c r="B35" s="146" t="s">
        <v>325</v>
      </c>
      <c r="C35" s="425">
        <f>C29</f>
        <v>16.5</v>
      </c>
      <c r="D35" s="426"/>
      <c r="G35" s="427" t="s">
        <v>326</v>
      </c>
      <c r="H35" s="428"/>
      <c r="I35" s="425">
        <v>19</v>
      </c>
      <c r="J35" s="426"/>
    </row>
    <row r="36" spans="2:10" ht="15.75" customHeight="1" x14ac:dyDescent="0.3">
      <c r="B36" s="146" t="s">
        <v>327</v>
      </c>
      <c r="C36" s="412">
        <f>C28</f>
        <v>4000</v>
      </c>
      <c r="D36" s="422"/>
      <c r="G36" s="435" t="s">
        <v>333</v>
      </c>
      <c r="H36" s="435"/>
      <c r="I36" s="436">
        <f>IF(C26="",0,I35/C29-1)</f>
        <v>0</v>
      </c>
      <c r="J36" s="437"/>
    </row>
    <row r="37" spans="2:10" ht="15.75" customHeight="1" x14ac:dyDescent="0.3"/>
    <row r="38" spans="2:10" ht="15.75" customHeight="1" x14ac:dyDescent="0.3">
      <c r="B38" s="21" t="s">
        <v>334</v>
      </c>
      <c r="G38" s="343" t="s">
        <v>141</v>
      </c>
      <c r="H38" s="133"/>
      <c r="I38" s="133"/>
      <c r="J38" s="133"/>
    </row>
    <row r="39" spans="2:10" ht="15.75" customHeight="1" x14ac:dyDescent="0.3">
      <c r="B39" s="3" t="s">
        <v>335</v>
      </c>
      <c r="F39" s="214">
        <f>'Qualitative Analysis'!E8</f>
        <v>0.51</v>
      </c>
      <c r="G39" s="352"/>
      <c r="H39" s="116"/>
      <c r="I39" s="116"/>
      <c r="J39" s="116"/>
    </row>
    <row r="40" spans="2:10" ht="15.75" customHeight="1" x14ac:dyDescent="0.3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337</v>
      </c>
      <c r="E41" s="353"/>
      <c r="F41" s="354">
        <f>'Qualitative Analysis'!E64</f>
        <v>0.61182823129251696</v>
      </c>
      <c r="G41" s="352" t="s">
        <v>338</v>
      </c>
      <c r="H41" s="116"/>
      <c r="I41" s="116"/>
      <c r="J41" s="116"/>
    </row>
    <row r="42" spans="2:10" ht="15.75" customHeight="1" x14ac:dyDescent="0.3">
      <c r="B42" s="3" t="s">
        <v>346</v>
      </c>
      <c r="E42" s="353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339</v>
      </c>
      <c r="H42" s="74"/>
      <c r="I42" s="74"/>
      <c r="J42" s="74"/>
    </row>
    <row r="43" spans="2:10" ht="15.75" customHeight="1" x14ac:dyDescent="0.3">
      <c r="B43" s="3" t="s">
        <v>347</v>
      </c>
      <c r="F43" s="355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340</v>
      </c>
      <c r="F45" s="354">
        <f>I35/C29-1</f>
        <v>0.1515151515151516</v>
      </c>
    </row>
    <row r="46" spans="2:10" ht="15.75" customHeight="1" x14ac:dyDescent="0.3">
      <c r="B46" s="3" t="s">
        <v>341</v>
      </c>
      <c r="F46" s="354">
        <f ca="1">D14/C29-1</f>
        <v>-8.0124716827391085E-2</v>
      </c>
    </row>
    <row r="47" spans="2:10" ht="15.75" customHeight="1" x14ac:dyDescent="0.3"/>
    <row r="48" spans="2:10" ht="15.75" customHeight="1" x14ac:dyDescent="0.3">
      <c r="B48" s="3" t="s">
        <v>342</v>
      </c>
      <c r="F48" s="214">
        <f>IF(F45&lt;=0,0,AVERAGE(F39:F41,1-F43,E42))</f>
        <v>0.56436564625850338</v>
      </c>
      <c r="G48" s="74"/>
    </row>
    <row r="49" spans="2:8" ht="15.75" customHeight="1" x14ac:dyDescent="0.3">
      <c r="B49" s="3" t="s">
        <v>343</v>
      </c>
      <c r="E49" s="356">
        <f ca="1">F45/ABS(F46)</f>
        <v>1.8909914133182346</v>
      </c>
      <c r="F49" s="357">
        <f ca="1">IF(F46&gt;=0,100,F45/ABS(F46))</f>
        <v>1.8909914133182346</v>
      </c>
      <c r="G49" s="74"/>
    </row>
    <row r="50" spans="2:8" ht="15.75" customHeight="1" x14ac:dyDescent="0.3">
      <c r="B50" s="3" t="s">
        <v>344</v>
      </c>
      <c r="E50" s="107">
        <f ca="1">MAX(F48-ABS((1-F48)/F49),0)/2</f>
        <v>0.16699606165764269</v>
      </c>
      <c r="F50" s="358">
        <f ca="1">MIN(E50,H50)</f>
        <v>0.16699606165764269</v>
      </c>
      <c r="G50" s="359" t="s">
        <v>345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9" priority="15" operator="lessThan">
      <formula>0</formula>
    </cfRule>
  </conditionalFormatting>
  <conditionalFormatting sqref="E26:H26">
    <cfRule type="containsBlanks" dxfId="18" priority="3">
      <formula>LEN(TRIM(E26))=0</formula>
    </cfRule>
  </conditionalFormatting>
  <conditionalFormatting sqref="F49">
    <cfRule type="cellIs" dxfId="17" priority="1" operator="lessThan">
      <formula>1</formula>
    </cfRule>
  </conditionalFormatting>
  <conditionalFormatting sqref="H14">
    <cfRule type="cellIs" dxfId="16" priority="7" operator="greaterThan">
      <formula>$B$16</formula>
    </cfRule>
  </conditionalFormatting>
  <conditionalFormatting sqref="H16">
    <cfRule type="cellIs" dxfId="15" priority="10" operator="greaterThan">
      <formula>$B$16</formula>
    </cfRule>
  </conditionalFormatting>
  <conditionalFormatting sqref="I16">
    <cfRule type="cellIs" dxfId="14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39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5"/>
      <c r="D50" s="6"/>
      <c r="E50" s="335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6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7" t="s">
        <v>300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3" sqref="E1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3" t="s">
        <v>141</v>
      </c>
    </row>
    <row r="3" spans="1:11" ht="15" customHeight="1" x14ac:dyDescent="0.3">
      <c r="B3" s="5" t="s">
        <v>259</v>
      </c>
      <c r="C3" s="6"/>
      <c r="D3" s="273">
        <v>128099808</v>
      </c>
      <c r="E3" s="156" t="str">
        <f>IF((C46-I46)=D3,"", "Error!")</f>
        <v/>
      </c>
      <c r="F3" s="6"/>
      <c r="G3" s="6"/>
      <c r="H3" s="274" t="s">
        <v>260</v>
      </c>
      <c r="I3" s="275">
        <v>113579020</v>
      </c>
      <c r="K3" s="74"/>
    </row>
    <row r="4" spans="1:11" ht="15" customHeight="1" x14ac:dyDescent="0.3">
      <c r="B4" s="5" t="s">
        <v>226</v>
      </c>
      <c r="C4" s="6"/>
      <c r="D4" s="276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1">
        <v>44742</v>
      </c>
      <c r="E9" s="290" t="s">
        <v>348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8">
        <f>D53+D54+D55</f>
        <v>6103303.7770000007</v>
      </c>
      <c r="E52" s="439"/>
      <c r="F52" s="53"/>
      <c r="G52" s="53"/>
    </row>
    <row r="53" spans="2:9" ht="14.5" thickTop="1" x14ac:dyDescent="0.3">
      <c r="B53" s="58" t="s">
        <v>236</v>
      </c>
      <c r="C53" s="6"/>
      <c r="D53" s="441">
        <f>SUM(I11:I13)+SUM(I28:I30)</f>
        <v>6103303.7770000007</v>
      </c>
      <c r="E53" s="419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46">
        <v>0</v>
      </c>
      <c r="E54" s="403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6">
        <v>0</v>
      </c>
      <c r="E55" s="403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0"/>
      <c r="E57" s="440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44">
        <f>((Dashboard!I6*Data!C4)+D52+E50-C58-C59)</f>
        <v>2551649.8122000024</v>
      </c>
      <c r="E60" s="44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265</v>
      </c>
    </row>
    <row r="63" spans="2:9" ht="15" customHeight="1" x14ac:dyDescent="0.3">
      <c r="B63" s="3" t="s">
        <v>268</v>
      </c>
      <c r="D63" s="436">
        <f>((C26-C11-C12-C14-C15-C16*G16-C19*G19-C20*G20)-I26)/Data!C7</f>
        <v>1.3669532590180158</v>
      </c>
      <c r="E63" s="437"/>
    </row>
    <row r="64" spans="2:9" ht="15" customHeight="1" x14ac:dyDescent="0.3">
      <c r="B64" s="3" t="s">
        <v>267</v>
      </c>
      <c r="D64" s="442">
        <v>6.9000000000000006E-2</v>
      </c>
      <c r="E64" s="443"/>
      <c r="F64" s="266" t="s">
        <v>252</v>
      </c>
    </row>
    <row r="65" spans="2:5" ht="15" customHeight="1" x14ac:dyDescent="0.3">
      <c r="B65" s="291" t="s">
        <v>269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532338E-C6AC-41CD-B3CC-9DDE086C6053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tabSelected="1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>
        <f>IF(G12="","",EOMONTH(EDATE(E3,12),0))</f>
        <v>45291</v>
      </c>
      <c r="H3" s="28"/>
      <c r="I3" s="277" t="str">
        <f>IF(I19="","",EOMONTH(EDATE(G3,12),0))</f>
        <v/>
      </c>
      <c r="J3" s="294"/>
      <c r="L3" s="72" t="s">
        <v>141</v>
      </c>
    </row>
    <row r="4" spans="1:13" ht="15.75" customHeight="1" x14ac:dyDescent="0.3">
      <c r="B4" s="17" t="s">
        <v>317</v>
      </c>
      <c r="C4" s="346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6"/>
      <c r="K4" s="6"/>
      <c r="L4" s="74"/>
      <c r="M4" s="57"/>
    </row>
    <row r="5" spans="1:13" ht="15.75" customHeight="1" x14ac:dyDescent="0.3">
      <c r="B5" s="17" t="s">
        <v>318</v>
      </c>
      <c r="C5" s="346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6"/>
      <c r="K5" s="6"/>
      <c r="L5" s="74"/>
      <c r="M5" s="57"/>
    </row>
    <row r="6" spans="1:13" ht="15.75" customHeight="1" x14ac:dyDescent="0.3">
      <c r="B6" s="347" t="s">
        <v>319</v>
      </c>
      <c r="C6" s="346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6"/>
      <c r="K6" s="6"/>
      <c r="L6" s="74"/>
      <c r="M6" s="57"/>
    </row>
    <row r="7" spans="1:13" ht="15.75" customHeight="1" x14ac:dyDescent="0.3">
      <c r="B7" s="17" t="s">
        <v>317</v>
      </c>
      <c r="C7" s="346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6"/>
      <c r="K7" s="6"/>
      <c r="L7" s="74"/>
      <c r="M7" s="57"/>
    </row>
    <row r="8" spans="1:13" ht="15.75" customHeight="1" x14ac:dyDescent="0.3">
      <c r="B8" s="17" t="s">
        <v>318</v>
      </c>
      <c r="C8" s="346">
        <v>3786145</v>
      </c>
      <c r="D8" s="260"/>
      <c r="E8" s="222">
        <f>1358253*1.6</f>
        <v>2173204.8000000003</v>
      </c>
      <c r="F8" s="260"/>
      <c r="G8" s="346">
        <f>C8</f>
        <v>3786145</v>
      </c>
      <c r="H8" s="260"/>
      <c r="I8" s="222"/>
      <c r="J8" s="286"/>
      <c r="K8" s="6"/>
      <c r="L8" s="74"/>
      <c r="M8" s="57"/>
    </row>
    <row r="9" spans="1:13" ht="15.75" customHeight="1" x14ac:dyDescent="0.3">
      <c r="B9" s="347" t="s">
        <v>320</v>
      </c>
      <c r="C9" s="346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6"/>
      <c r="K9" s="6"/>
      <c r="L9" s="74"/>
      <c r="M9" s="57"/>
    </row>
    <row r="10" spans="1:13" ht="15.75" customHeight="1" x14ac:dyDescent="0.3">
      <c r="B10" s="347" t="s">
        <v>321</v>
      </c>
      <c r="C10" s="346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6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7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5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1">
        <f>IF(G11="","",G11*(1-G14))</f>
        <v>5519760.0026666662</v>
      </c>
      <c r="H13" s="262"/>
      <c r="I13" s="281" t="str">
        <f>IF(I11="","",I11*(1-I14))</f>
        <v/>
      </c>
      <c r="J13" s="326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7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8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29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0"/>
      <c r="K19" s="6"/>
      <c r="L19" s="77"/>
      <c r="M19" s="78"/>
    </row>
    <row r="20" spans="2:13" ht="15.75" customHeight="1" x14ac:dyDescent="0.3">
      <c r="B20" s="134" t="s">
        <v>247</v>
      </c>
      <c r="C20" s="317">
        <f>C15-C17</f>
        <v>6739664</v>
      </c>
      <c r="D20" s="318"/>
      <c r="E20" s="317">
        <f>E15-E17</f>
        <v>1825905.3000000003</v>
      </c>
      <c r="F20" s="318"/>
      <c r="G20" s="317">
        <f>IF(G12="","",G15-G17)</f>
        <v>4396241.5439999998</v>
      </c>
      <c r="H20" s="318"/>
      <c r="I20" s="317" t="str">
        <f>IF(I12="","",I15-I17)</f>
        <v/>
      </c>
      <c r="J20" s="331"/>
      <c r="K20" s="6"/>
      <c r="L20" s="79"/>
      <c r="M20" s="56"/>
    </row>
    <row r="21" spans="2:13" ht="15.75" customHeight="1" x14ac:dyDescent="0.3">
      <c r="B21" s="313" t="s">
        <v>148</v>
      </c>
      <c r="C21" s="314">
        <v>0.25</v>
      </c>
      <c r="D21" s="315"/>
      <c r="E21" s="316">
        <f>IF(E20="","",C21)</f>
        <v>0.25</v>
      </c>
      <c r="F21" s="316"/>
      <c r="G21" s="316">
        <f>IF(G20="","",E21)</f>
        <v>0.25</v>
      </c>
      <c r="H21" s="316"/>
      <c r="I21" s="316" t="str">
        <f>IF(I20="","",G21)</f>
        <v/>
      </c>
      <c r="J21" s="332"/>
    </row>
    <row r="22" spans="2:13" ht="15.75" customHeight="1" x14ac:dyDescent="0.3">
      <c r="B22" s="322" t="s">
        <v>307</v>
      </c>
      <c r="C22" s="264">
        <f>C23/C13</f>
        <v>0.76776041400069894</v>
      </c>
      <c r="D22" s="324"/>
      <c r="E22" s="323">
        <f>E23/E13</f>
        <v>0.36330836523290511</v>
      </c>
      <c r="F22" s="323"/>
      <c r="G22" s="323">
        <f>IF(G13="","",G23/G13)</f>
        <v>0.59734139825048371</v>
      </c>
      <c r="H22" s="323"/>
      <c r="I22" s="323" t="str">
        <f>IF(I13="","",I23/I13)</f>
        <v/>
      </c>
      <c r="J22" s="333"/>
    </row>
    <row r="23" spans="2:13" ht="15.75" customHeight="1" x14ac:dyDescent="0.3">
      <c r="B23" s="319" t="s">
        <v>80</v>
      </c>
      <c r="C23" s="320">
        <f>IF(C20&lt;=0,C20,C20*(1-C21))</f>
        <v>5054748</v>
      </c>
      <c r="D23" s="320"/>
      <c r="E23" s="321">
        <f>IF(E20="","",IF(E20&lt;=0,E20,E20*(1-E21)))</f>
        <v>1369428.9750000001</v>
      </c>
      <c r="F23" s="320"/>
      <c r="G23" s="321">
        <f>IF(G20="","",IF(G20&lt;=0,G20,G20*(1-G21)))</f>
        <v>3297181.1579999998</v>
      </c>
      <c r="H23" s="320"/>
      <c r="I23" s="321" t="str">
        <f>IF(I20="","",IF(I20&lt;=0,I20,I20*(1-I21)))</f>
        <v/>
      </c>
      <c r="J23" s="334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2" priority="10">
      <formula>LEN(TRIM(J12))=0</formula>
    </cfRule>
    <cfRule type="containsBlanks" priority="11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1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6"/>
      <c r="G6" s="199"/>
      <c r="H6" s="6"/>
      <c r="I6" s="77"/>
    </row>
    <row r="7" spans="1:10" ht="15" customHeight="1" thickBot="1" x14ac:dyDescent="0.35">
      <c r="B7" s="81" t="s">
        <v>271</v>
      </c>
      <c r="C7" s="307">
        <f>C4*C6</f>
        <v>1516424.4</v>
      </c>
      <c r="D7" s="307">
        <f>D4*D6</f>
        <v>410828.6925</v>
      </c>
      <c r="E7" s="308">
        <f>E4*E6</f>
        <v>989154.34739999985</v>
      </c>
      <c r="F7" s="308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3">
        <f>D8/(Common_Shares/Data!$C$4)</f>
        <v>0.66050693112038972</v>
      </c>
      <c r="E9" s="303">
        <f>IF(E8="","",E8/(Common_Shares/Data!$C$4))</f>
        <v>1.5903059215017357</v>
      </c>
      <c r="F9" s="303" t="str">
        <f>IF(F8="","",F8/(Common_Shares/Data!$C$4))</f>
        <v/>
      </c>
      <c r="G9" s="304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09">
        <f>C11/C9</f>
        <v>0.55372788266172157</v>
      </c>
      <c r="D10" s="309">
        <f>D11/D9</f>
        <v>2.0438846837080917</v>
      </c>
      <c r="E10" s="340"/>
      <c r="F10" s="340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3">
        <f>0.4+0.95</f>
        <v>1.35</v>
      </c>
      <c r="D11" s="284">
        <f>0.4+0.95</f>
        <v>1.35</v>
      </c>
      <c r="E11" s="341"/>
      <c r="F11" s="341"/>
      <c r="G11" s="282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2"/>
      <c r="F12" s="342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9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9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2" t="s">
        <v>231</v>
      </c>
      <c r="F23" s="452"/>
      <c r="G23" s="452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2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5">
        <v>6</v>
      </c>
      <c r="E25" s="206">
        <f ca="1">G9*D25/G14</f>
        <v>7.5746166814402116</v>
      </c>
      <c r="F25" s="450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299" t="s">
        <v>302</v>
      </c>
      <c r="C26" s="300">
        <f t="shared" ref="C26" si="0">1/D26</f>
        <v>0.1</v>
      </c>
      <c r="D26" s="312">
        <v>10</v>
      </c>
      <c r="E26" s="207">
        <f ca="1">G9*D26/G14</f>
        <v>12.624361135733688</v>
      </c>
      <c r="F26" s="451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7" t="s">
        <v>153</v>
      </c>
      <c r="D31" s="448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0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2"/>
    </row>
    <row r="11" spans="1:7" ht="15" customHeight="1" x14ac:dyDescent="0.3">
      <c r="B11" s="99" t="s">
        <v>159</v>
      </c>
      <c r="C11" s="93"/>
      <c r="E11" s="6"/>
      <c r="G11" s="292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2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2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2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2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2"/>
    </row>
    <row r="17" spans="2:7" ht="15" customHeight="1" x14ac:dyDescent="0.3">
      <c r="B17" s="99" t="s">
        <v>166</v>
      </c>
      <c r="D17" s="38"/>
      <c r="E17" s="23"/>
      <c r="G17" s="292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2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2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2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2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2"/>
    </row>
    <row r="23" spans="2:7" ht="15" customHeight="1" x14ac:dyDescent="0.3">
      <c r="B23" s="99" t="s">
        <v>171</v>
      </c>
      <c r="D23" s="38"/>
      <c r="E23" s="23"/>
      <c r="G23" s="292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2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2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2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2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2"/>
    </row>
    <row r="29" spans="2:7" ht="15" customHeight="1" x14ac:dyDescent="0.3">
      <c r="B29" s="99" t="s">
        <v>175</v>
      </c>
      <c r="D29" s="38"/>
      <c r="E29" s="23"/>
      <c r="G29" s="292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2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2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2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2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2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2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2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2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2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2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2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2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2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2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2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2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2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2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2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2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2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2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2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2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2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2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2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2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2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2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2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2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2"/>
      <c r="H62" s="53"/>
    </row>
    <row r="63" spans="2:8" ht="15" customHeight="1" x14ac:dyDescent="0.3">
      <c r="D63" s="6"/>
      <c r="G63" s="292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2"/>
    </row>
    <row r="65" spans="2:7" ht="15" customHeight="1" x14ac:dyDescent="0.3">
      <c r="G65" s="293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2023-03-24T02:22:14Z</dcterms:modified>
  <cp:category/>
  <cp:contentStatus/>
</cp:coreProperties>
</file>