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AD913A6-3AA6-4739-AD5E-4B365224A5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1" i="1"/>
  <c r="F39" i="1"/>
  <c r="F43" i="1"/>
  <c r="F40" i="1"/>
  <c r="E26" i="1"/>
  <c r="C36" i="1"/>
  <c r="E7" i="3"/>
  <c r="C35" i="1"/>
  <c r="B18" i="1" s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4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C29" i="4" l="1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D18" i="5"/>
  <c r="E6" i="5" s="1"/>
  <c r="D50" i="3" l="1"/>
  <c r="D6" i="3"/>
  <c r="D7" i="3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F45" i="1" s="1"/>
  <c r="E25" i="4"/>
  <c r="G25" i="4" s="1"/>
  <c r="E26" i="4"/>
  <c r="G26" i="4" s="1"/>
  <c r="E30" i="4" s="1"/>
  <c r="F48" i="1" l="1"/>
  <c r="F42" i="1"/>
  <c r="E42" i="1" s="1"/>
  <c r="I36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l="1"/>
  <c r="D14" i="1"/>
  <c r="F46" i="1" s="1"/>
  <c r="C33" i="4"/>
  <c r="H14" i="1" s="1"/>
  <c r="J25" i="1" s="1"/>
  <c r="D30" i="4"/>
  <c r="F49" i="1" l="1"/>
  <c r="E50" i="1" s="1"/>
  <c r="F50" i="1" s="1"/>
  <c r="E49" i="1"/>
  <c r="F33" i="4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<sst xmlns="http://schemas.openxmlformats.org/spreadsheetml/2006/main" count="399" uniqueCount="337">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</sst>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5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22" sqref="C22:F2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3" t="s">
        <v>301</v>
      </c>
      <c r="D3" s="404"/>
      <c r="E3" s="15"/>
      <c r="G3" s="7" t="s">
        <v>2</v>
      </c>
      <c r="I3" s="413" t="s">
        <v>3</v>
      </c>
      <c r="J3" s="414"/>
    </row>
    <row r="4" spans="1:12" ht="15.75" customHeight="1" x14ac:dyDescent="0.3">
      <c r="B4" s="5" t="s">
        <v>4</v>
      </c>
      <c r="C4" s="405" t="s">
        <v>302</v>
      </c>
      <c r="D4" s="406"/>
      <c r="E4" s="6"/>
      <c r="G4" s="5" t="s">
        <v>5</v>
      </c>
      <c r="I4" s="32">
        <v>5.98</v>
      </c>
      <c r="J4" s="33" t="s">
        <v>6</v>
      </c>
      <c r="K4" s="152"/>
    </row>
    <row r="5" spans="1:12" ht="15.75" customHeight="1" x14ac:dyDescent="0.3">
      <c r="B5" s="5" t="s">
        <v>7</v>
      </c>
      <c r="C5" s="407">
        <v>44501</v>
      </c>
      <c r="D5" s="406"/>
      <c r="E5" s="122" t="str">
        <f ca="1">IF(C5+30&gt;=TODAY(),"Patience Premium","")</f>
        <v/>
      </c>
      <c r="G5" s="5" t="s">
        <v>8</v>
      </c>
      <c r="I5" s="371">
        <v>9068251704</v>
      </c>
      <c r="J5" s="372"/>
      <c r="K5" s="151"/>
      <c r="L5" s="85"/>
    </row>
    <row r="6" spans="1:12" ht="15.75" customHeight="1" x14ac:dyDescent="0.3">
      <c r="B6" s="12" t="s">
        <v>257</v>
      </c>
      <c r="C6" s="269">
        <v>8</v>
      </c>
      <c r="D6" s="270">
        <f>EOMONTH(EDATE(Asset_Model!D9,C6),0)</f>
        <v>44985</v>
      </c>
      <c r="E6" s="346">
        <f>IF(Asset_Model!E9="FY",Asset_Model!D9,Data!C3)</f>
        <v>44561</v>
      </c>
      <c r="G6" s="134" t="s">
        <v>9</v>
      </c>
      <c r="H6" s="133"/>
      <c r="I6" s="415">
        <f>I4*I5/1000000</f>
        <v>54228.145189920004</v>
      </c>
      <c r="J6" s="416"/>
      <c r="K6" s="151"/>
    </row>
    <row r="7" spans="1:12" ht="15.75" customHeight="1" x14ac:dyDescent="0.3">
      <c r="B7" s="139" t="s">
        <v>10</v>
      </c>
      <c r="C7" s="145">
        <f>(Data!C39)/I4</f>
        <v>6.2555726147730417E-2</v>
      </c>
      <c r="D7" s="145">
        <f>(Data!C40)/I4</f>
        <v>6.7237040603737065E-3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6.9098398343586069</v>
      </c>
      <c r="J9" s="48">
        <f>IF(I9="NNI","NNI",1/I9)</f>
        <v>0.14472115475493119</v>
      </c>
    </row>
    <row r="10" spans="1:12" ht="15.75" customHeight="1" x14ac:dyDescent="0.3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2.1192264170448776</v>
      </c>
      <c r="J10" s="130">
        <f>IF(Asset_Model!D60/'FCFF Model'!C4&lt;0,"Negative EV",Asset_Model!D60/'FCFF Model'!C4)</f>
        <v>6.8536833370802768</v>
      </c>
    </row>
    <row r="11" spans="1:12" ht="15.75" customHeight="1" thickBot="1" x14ac:dyDescent="0.35">
      <c r="B11" s="312" t="s">
        <v>276</v>
      </c>
      <c r="C11" s="383">
        <f ca="1">C12-D10</f>
        <v>5.1000000000000004E-2</v>
      </c>
      <c r="D11" s="384"/>
      <c r="E11" s="13"/>
      <c r="G11" s="5" t="s">
        <v>15</v>
      </c>
      <c r="H11" s="6"/>
      <c r="I11" s="380" t="s">
        <v>303</v>
      </c>
      <c r="J11" s="381"/>
    </row>
    <row r="12" spans="1:12" ht="15.75" customHeight="1" thickTop="1" x14ac:dyDescent="0.3">
      <c r="B12" s="313" t="s">
        <v>150</v>
      </c>
      <c r="C12" s="385">
        <f ca="1">IF(C10="CN",8%,6%)*IF($C$5+30&gt;=TODAY(),1.2,1)</f>
        <v>0.08</v>
      </c>
      <c r="D12" s="386"/>
      <c r="G12" s="134" t="s">
        <v>16</v>
      </c>
      <c r="H12" s="133"/>
      <c r="I12" s="135">
        <v>1.1421786546707153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Model'!C30,'FCFF Model'!E30)</f>
        <v>3.0007852711918654</v>
      </c>
      <c r="E14" s="127" t="s">
        <v>235</v>
      </c>
      <c r="F14" s="184">
        <f ca="1">MAX('FCFF Model'!C30,'FCFF Model'!E30)</f>
        <v>8.4517108059915298</v>
      </c>
      <c r="G14" s="185" t="s">
        <v>24</v>
      </c>
      <c r="H14" s="193">
        <f ca="1">IF('FCFF Model'!C33&lt;0, "Error", 'FCFF Model'!C33)</f>
        <v>6.3197778130229025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5.98</v>
      </c>
      <c r="C16" s="395">
        <v>0.1</v>
      </c>
      <c r="D16" s="159">
        <f ca="1">H14/B16-1-C16</f>
        <v>-4.3180967721922731E-2</v>
      </c>
      <c r="E16" s="390">
        <f>'FCFF Model'!D11*Exchange_Rate</f>
        <v>0.31032994047403334</v>
      </c>
      <c r="F16" s="161">
        <f>E16/B16</f>
        <v>5.1894638875256409E-2</v>
      </c>
      <c r="G16" s="398" t="s">
        <v>25</v>
      </c>
      <c r="H16" s="417">
        <f>('FCFF Model'!G19)*Exchange_Rate</f>
        <v>1.5372745175384084</v>
      </c>
      <c r="I16" s="398" t="s">
        <v>26</v>
      </c>
      <c r="J16" s="206">
        <f>B16-$H$16</f>
        <v>4.4427254824615918</v>
      </c>
    </row>
    <row r="17" spans="1:10" ht="15.75" customHeight="1" x14ac:dyDescent="0.3">
      <c r="B17" s="289">
        <f ca="1">H14/(1+C16)</f>
        <v>5.7452525572935471</v>
      </c>
      <c r="C17" s="396"/>
      <c r="D17" s="288">
        <f ca="1">H14/B17-1-C16</f>
        <v>0</v>
      </c>
      <c r="E17" s="391"/>
      <c r="F17" s="162">
        <f ca="1">E16/B17</f>
        <v>5.4015021511991189E-2</v>
      </c>
      <c r="G17" s="399"/>
      <c r="H17" s="418"/>
      <c r="I17" s="399"/>
      <c r="J17" s="205">
        <f ca="1">B17-$H$16</f>
        <v>4.2079780397551385</v>
      </c>
    </row>
    <row r="18" spans="1:10" ht="15.75" customHeight="1" x14ac:dyDescent="0.3">
      <c r="B18" s="349">
        <f>C35</f>
        <v>4.8</v>
      </c>
      <c r="C18" s="397"/>
      <c r="D18" s="160">
        <f ca="1">H14/B18-1-C16</f>
        <v>0.21662037771310469</v>
      </c>
      <c r="E18" s="392"/>
      <c r="F18" s="163">
        <f>E16/B18</f>
        <v>6.4652070932090286E-2</v>
      </c>
      <c r="G18" s="400"/>
      <c r="H18" s="419"/>
      <c r="I18" s="400"/>
      <c r="J18" s="207">
        <f>B18-$H$16</f>
        <v>3.2627254824615912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0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0"/>
      <c r="D21" s="411"/>
      <c r="E21" s="411"/>
      <c r="F21" s="411"/>
      <c r="G21" s="411"/>
      <c r="H21" s="411"/>
      <c r="I21" s="411"/>
      <c r="J21" s="412"/>
    </row>
    <row r="22" spans="1:10" ht="52.5" customHeight="1" x14ac:dyDescent="0.3">
      <c r="A22" s="6"/>
      <c r="B22" s="24" t="s">
        <v>29</v>
      </c>
      <c r="C22" s="382"/>
      <c r="D22" s="377"/>
      <c r="E22" s="377"/>
      <c r="F22" s="377"/>
      <c r="G22" s="382"/>
      <c r="H22" s="382"/>
      <c r="I22" s="377"/>
      <c r="J22" s="377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7">
        <v>0.15</v>
      </c>
      <c r="I25" s="30" t="s">
        <v>318</v>
      </c>
      <c r="J25" s="348">
        <f ca="1">H14/(H25+C16+1)</f>
        <v>5.0558222504183217</v>
      </c>
    </row>
    <row r="26" spans="1:10" ht="15.75" customHeight="1" x14ac:dyDescent="0.3">
      <c r="B26" s="23" t="s">
        <v>33</v>
      </c>
      <c r="C26" s="408">
        <v>44501</v>
      </c>
      <c r="D26" s="409"/>
      <c r="E26" s="387" t="str">
        <f>IF(C26="","","Action_Planning")</f>
        <v>Action_Planning</v>
      </c>
      <c r="F26" s="388"/>
      <c r="G26" s="388"/>
      <c r="H26" s="389"/>
      <c r="I26" s="420" t="s">
        <v>34</v>
      </c>
      <c r="J26" s="420"/>
    </row>
    <row r="27" spans="1:10" ht="15.75" customHeight="1" x14ac:dyDescent="0.3">
      <c r="B27" s="23" t="s">
        <v>35</v>
      </c>
      <c r="C27" s="367">
        <f>C31/D25</f>
        <v>7.3866666666666664E-2</v>
      </c>
      <c r="D27" s="366"/>
      <c r="E27" s="365">
        <f>E31/D25</f>
        <v>6.4000000000000001E-2</v>
      </c>
      <c r="F27" s="366"/>
      <c r="G27" s="369">
        <f>G31/D25</f>
        <v>0</v>
      </c>
      <c r="H27" s="370"/>
      <c r="I27" s="368">
        <f>C27+E27+G27</f>
        <v>0.13786666666666667</v>
      </c>
      <c r="J27" s="368"/>
    </row>
    <row r="28" spans="1:10" ht="15.75" customHeight="1" x14ac:dyDescent="0.3">
      <c r="B28" s="23" t="s">
        <v>36</v>
      </c>
      <c r="C28" s="401">
        <v>4000</v>
      </c>
      <c r="D28" s="377"/>
      <c r="E28" s="401">
        <v>8000</v>
      </c>
      <c r="F28" s="377"/>
      <c r="G28" s="371"/>
      <c r="H28" s="372"/>
      <c r="I28" s="426">
        <f>C28+E28+G28</f>
        <v>12000</v>
      </c>
      <c r="J28" s="426"/>
    </row>
    <row r="29" spans="1:10" ht="15.75" customHeight="1" x14ac:dyDescent="0.3">
      <c r="B29" s="23" t="s">
        <v>37</v>
      </c>
      <c r="C29" s="376">
        <v>11.08</v>
      </c>
      <c r="D29" s="377"/>
      <c r="E29" s="376">
        <v>4.8</v>
      </c>
      <c r="F29" s="377"/>
      <c r="G29" s="435"/>
      <c r="H29" s="436"/>
      <c r="I29" s="373"/>
      <c r="J29" s="373"/>
    </row>
    <row r="30" spans="1:10" ht="15.75" customHeight="1" x14ac:dyDescent="0.3">
      <c r="B30" s="23" t="s">
        <v>38</v>
      </c>
      <c r="C30" s="422">
        <f>C29*$I$5/1000000</f>
        <v>100476.22888032001</v>
      </c>
      <c r="D30" s="431"/>
      <c r="E30" s="422">
        <f>E29*$I$5/1000000</f>
        <v>43527.608179199997</v>
      </c>
      <c r="F30" s="431"/>
      <c r="G30" s="359">
        <f>G29*$I$5/1000000</f>
        <v>0</v>
      </c>
      <c r="H30" s="360"/>
      <c r="I30" s="374"/>
      <c r="J30" s="374"/>
    </row>
    <row r="31" spans="1:10" ht="15.75" customHeight="1" x14ac:dyDescent="0.3">
      <c r="B31" s="2" t="s">
        <v>39</v>
      </c>
      <c r="C31" s="432">
        <f>C28*C29</f>
        <v>44320</v>
      </c>
      <c r="D31" s="433"/>
      <c r="E31" s="425">
        <f>E28*E29</f>
        <v>38400</v>
      </c>
      <c r="F31" s="434"/>
      <c r="G31" s="378">
        <f>G28*G29</f>
        <v>0</v>
      </c>
      <c r="H31" s="379"/>
      <c r="I31" s="425">
        <f>C31+E31+G31</f>
        <v>82720</v>
      </c>
      <c r="J31" s="425"/>
    </row>
    <row r="32" spans="1:10" ht="15.75" customHeight="1" x14ac:dyDescent="0.3">
      <c r="B32" s="1" t="s">
        <v>40</v>
      </c>
      <c r="C32" s="427"/>
      <c r="D32" s="428"/>
      <c r="E32" s="375">
        <f>IF(C31=0,"-",(C31+E31)/(C28+E28))</f>
        <v>6.8933333333333335</v>
      </c>
      <c r="F32" s="366"/>
      <c r="G32" s="117"/>
      <c r="H32" s="117"/>
      <c r="I32" s="375">
        <f>IF(I31=0,"",I31/I28)</f>
        <v>6.8933333333333335</v>
      </c>
      <c r="J32" s="375"/>
    </row>
    <row r="33" spans="2:10" ht="15.75" customHeight="1" x14ac:dyDescent="0.3">
      <c r="B33" s="1" t="s">
        <v>41</v>
      </c>
      <c r="C33" s="429"/>
      <c r="D33" s="430"/>
      <c r="E33" s="422">
        <f>IF(E32="-","-",E32*$I$5/1000000)</f>
        <v>62510.481746240002</v>
      </c>
      <c r="F33" s="431"/>
      <c r="G33" s="118"/>
      <c r="H33" s="118"/>
      <c r="I33" s="422">
        <f>IF(I32="","",I32*$I$5/1000000)</f>
        <v>62510.481746240002</v>
      </c>
      <c r="J33" s="422"/>
    </row>
    <row r="34" spans="2:10" ht="15.75" customHeight="1" x14ac:dyDescent="0.3"/>
    <row r="35" spans="2:10" ht="15.75" customHeight="1" x14ac:dyDescent="0.3">
      <c r="B35" s="146" t="s">
        <v>315</v>
      </c>
      <c r="C35" s="363">
        <f>E29</f>
        <v>4.8</v>
      </c>
      <c r="D35" s="364"/>
      <c r="G35" s="361" t="s">
        <v>319</v>
      </c>
      <c r="H35" s="362"/>
      <c r="I35" s="363">
        <f ca="1">'FCFF Model'!C34*0.8</f>
        <v>7.2270372798510838</v>
      </c>
      <c r="J35" s="364"/>
    </row>
    <row r="36" spans="2:10" ht="15.75" customHeight="1" x14ac:dyDescent="0.3">
      <c r="B36" s="146" t="s">
        <v>316</v>
      </c>
      <c r="C36" s="401">
        <f>E28</f>
        <v>8000</v>
      </c>
      <c r="D36" s="402"/>
      <c r="G36" s="421" t="s">
        <v>323</v>
      </c>
      <c r="H36" s="421"/>
      <c r="I36" s="423">
        <f ca="1">I35/C29-1</f>
        <v>-0.34774031770297076</v>
      </c>
      <c r="J36" s="424"/>
    </row>
    <row r="37" spans="2:10" ht="15.75" customHeight="1" x14ac:dyDescent="0.3"/>
    <row r="38" spans="2:10" ht="15.75" customHeight="1" x14ac:dyDescent="0.3">
      <c r="B38" s="21" t="s">
        <v>324</v>
      </c>
      <c r="G38" s="72" t="s">
        <v>141</v>
      </c>
    </row>
    <row r="39" spans="2:10" ht="15.75" customHeight="1" x14ac:dyDescent="0.3">
      <c r="B39" s="3" t="s">
        <v>325</v>
      </c>
      <c r="F39" s="214">
        <f>'Qualitative Analysis'!E8</f>
        <v>0.4</v>
      </c>
    </row>
    <row r="40" spans="2:10" ht="15.75" customHeight="1" x14ac:dyDescent="0.3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327</v>
      </c>
      <c r="E41" s="350"/>
      <c r="F41" s="351">
        <f>'Qualitative Analysis'!E64</f>
        <v>0.60888605442176869</v>
      </c>
    </row>
    <row r="42" spans="2:10" ht="15.75" customHeight="1" x14ac:dyDescent="0.3">
      <c r="B42" s="3" t="s">
        <v>334</v>
      </c>
      <c r="E42" s="350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335</v>
      </c>
      <c r="F43" s="355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328</v>
      </c>
      <c r="F45" s="351">
        <f ca="1">I35/C29-1</f>
        <v>-0.34774031770297076</v>
      </c>
    </row>
    <row r="46" spans="2:10" ht="15.75" customHeight="1" x14ac:dyDescent="0.3">
      <c r="B46" s="3" t="s">
        <v>329</v>
      </c>
      <c r="F46" s="351">
        <f ca="1">D14/C29-1</f>
        <v>-0.72917100440506633</v>
      </c>
    </row>
    <row r="47" spans="2:10" ht="15.75" customHeight="1" x14ac:dyDescent="0.3"/>
    <row r="48" spans="2:10" ht="15.75" customHeight="1" x14ac:dyDescent="0.3">
      <c r="B48" s="3" t="s">
        <v>333</v>
      </c>
      <c r="F48" s="214">
        <f ca="1">IF(F45&lt;=0,0,AVERAGE(F39:F41,1-F43,E42))</f>
        <v>0</v>
      </c>
    </row>
    <row r="49" spans="2:8" ht="15.75" customHeight="1" x14ac:dyDescent="0.3">
      <c r="B49" s="3" t="s">
        <v>330</v>
      </c>
      <c r="E49" s="356">
        <f ca="1">F45/ABS(F46)</f>
        <v>-0.47689817011675273</v>
      </c>
      <c r="F49" s="352">
        <f ca="1">IF(F46&gt;=0,100,F45/ABS(F46))</f>
        <v>-0.47689817011675273</v>
      </c>
    </row>
    <row r="50" spans="2:8" ht="15.75" customHeight="1" x14ac:dyDescent="0.3">
      <c r="B50" s="3" t="s">
        <v>331</v>
      </c>
      <c r="E50" s="107">
        <f ca="1">MAX(F48-ABS((1-F48)/F49),0)/2</f>
        <v>0</v>
      </c>
      <c r="F50" s="353">
        <f ca="1">MIN(E50,H50)</f>
        <v>0</v>
      </c>
      <c r="G50" s="354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13" sqref="E1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3">
        <v>23380708</v>
      </c>
      <c r="E3" s="156" t="str">
        <f>IF((C46-I46)=D3,"", "Error!")</f>
        <v/>
      </c>
      <c r="F3" s="6"/>
      <c r="G3" s="6"/>
      <c r="H3" s="274" t="s">
        <v>261</v>
      </c>
      <c r="I3" s="275">
        <v>21883166</v>
      </c>
    </row>
    <row r="4" spans="1:10" ht="15" customHeight="1" x14ac:dyDescent="0.3">
      <c r="B4" s="5" t="s">
        <v>227</v>
      </c>
      <c r="C4" s="6"/>
      <c r="D4" s="276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2.7562628296687981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E46-I46-E50+MIN('FCFF Model'!D4,0)</f>
        <v>11699029.012965782</v>
      </c>
      <c r="E6" s="14">
        <f>1-D6/D3</f>
        <v>0.49962896705412929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MAX((D6*Exchange_Rate*Data!C4)/Dashboard!I5, 0)</f>
        <v>1.4735344424867238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1">
        <v>44742</v>
      </c>
      <c r="E9" s="290" t="s">
        <v>336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2.1192264170448776</v>
      </c>
      <c r="E50" s="218">
        <f>MAX(C50,C50*Dashboard!I10)</f>
        <v>3173630.5670342199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37">
        <f>D53+D54+D55</f>
        <v>1183453</v>
      </c>
      <c r="E52" s="438"/>
      <c r="F52" s="53"/>
      <c r="G52" s="53"/>
    </row>
    <row r="53" spans="2:9" ht="14.5" thickTop="1" x14ac:dyDescent="0.3">
      <c r="B53" s="58" t="s">
        <v>237</v>
      </c>
      <c r="C53" s="6"/>
      <c r="D53" s="440">
        <f>SUM(I11:I13)+SUM(I28:I30)</f>
        <v>1183453</v>
      </c>
      <c r="E53" s="433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45">
        <v>0</v>
      </c>
      <c r="E54" s="377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5">
        <v>0</v>
      </c>
      <c r="E55" s="377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9"/>
      <c r="E57" s="439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43">
        <f>((Dashboard!I6*Data!C4)+D52+E50-C58-C59)</f>
        <v>41483470.756954223</v>
      </c>
      <c r="E60" s="44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266</v>
      </c>
    </row>
    <row r="63" spans="2:9" ht="15" customHeight="1" x14ac:dyDescent="0.3">
      <c r="B63" s="3" t="s">
        <v>269</v>
      </c>
      <c r="D63" s="423">
        <f>((C26-C11-C12-C14-C15-C16*G16-C19*G19-C20*G20)-I26)/Data!C7</f>
        <v>-0.16514252885624575</v>
      </c>
      <c r="E63" s="424"/>
    </row>
    <row r="64" spans="2:9" ht="15" customHeight="1" x14ac:dyDescent="0.3">
      <c r="B64" s="3" t="s">
        <v>268</v>
      </c>
      <c r="D64" s="441">
        <v>6.7599999999999993E-2</v>
      </c>
      <c r="E64" s="442"/>
      <c r="F64" s="266" t="s">
        <v>253</v>
      </c>
    </row>
    <row r="65" spans="2:5" ht="15" customHeight="1" x14ac:dyDescent="0.3">
      <c r="B65" s="291" t="s">
        <v>270</v>
      </c>
      <c r="D65" s="441">
        <v>6.7599999999999993E-2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80F298FD-0D7D-4014-88B2-A76FBA9B2E64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5" t="s">
        <v>264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44561</v>
      </c>
      <c r="D3" s="28" t="s">
        <v>252</v>
      </c>
      <c r="E3" s="277">
        <f>EOMONTH(EDATE(C3,12),0)</f>
        <v>44926</v>
      </c>
      <c r="F3" s="28" t="s">
        <v>252</v>
      </c>
      <c r="G3" s="277">
        <f>IF(G7="","",EOMONTH(EDATE(E3,12),0))</f>
        <v>45291</v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 x14ac:dyDescent="0.3">
      <c r="B4" s="292" t="s">
        <v>308</v>
      </c>
      <c r="C4" s="293">
        <v>22545004</v>
      </c>
      <c r="D4" s="260">
        <f>C4/C6</f>
        <v>0.98984640370139709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307</v>
      </c>
      <c r="C5" s="293">
        <v>231261</v>
      </c>
      <c r="D5" s="260">
        <f>C5/C6</f>
        <v>1.0153596298602954E-2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8">
        <f>C6*0.84</f>
        <v>19132062.599999998</v>
      </c>
      <c r="F6" s="259"/>
      <c r="G6" s="338">
        <f>C6</f>
        <v>22776265</v>
      </c>
      <c r="H6" s="259"/>
      <c r="I6" s="228"/>
      <c r="J6" s="287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1">
        <f>IF(G6="","",G6*(1-G9))</f>
        <v>6768675.9999999991</v>
      </c>
      <c r="H8" s="262"/>
      <c r="I8" s="281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248</v>
      </c>
      <c r="C15" s="319">
        <f>C10-C12</f>
        <v>8070302</v>
      </c>
      <c r="D15" s="320"/>
      <c r="E15" s="319">
        <f>E10-E12</f>
        <v>6779053.6799999988</v>
      </c>
      <c r="F15" s="320"/>
      <c r="G15" s="319">
        <f>IF(G7="","",G10-G12)</f>
        <v>8070302</v>
      </c>
      <c r="H15" s="320"/>
      <c r="I15" s="319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>
        <f>IF(G15="","",E16)</f>
        <v>0.25</v>
      </c>
      <c r="H16" s="318"/>
      <c r="I16" s="318" t="str">
        <f>IF(I15="","",G16)</f>
        <v/>
      </c>
      <c r="J16" s="335"/>
    </row>
    <row r="17" spans="2:10" ht="15.75" customHeight="1" x14ac:dyDescent="0.3">
      <c r="B17" s="324" t="s">
        <v>279</v>
      </c>
      <c r="C17" s="188"/>
      <c r="D17" s="326"/>
      <c r="E17" s="325">
        <f>E18/C18-1</f>
        <v>-0.16000000000000014</v>
      </c>
      <c r="F17" s="325"/>
      <c r="G17" s="325">
        <f>IF(G18="","",G18/E18-1)</f>
        <v>0.19047619047619069</v>
      </c>
      <c r="H17" s="325"/>
      <c r="I17" s="325" t="str">
        <f>IF(I18="","",I18/G18-1)</f>
        <v/>
      </c>
      <c r="J17" s="336"/>
    </row>
    <row r="18" spans="2:10" ht="15.75" customHeight="1" x14ac:dyDescent="0.3">
      <c r="B18" s="321" t="s">
        <v>80</v>
      </c>
      <c r="C18" s="322">
        <f>IF(C15&lt;=0,C15,C15*(1-C16))</f>
        <v>6052726.5</v>
      </c>
      <c r="D18" s="322"/>
      <c r="E18" s="323">
        <f>IF(E15="","",IF(E15&lt;=0,E15,E15*(1-E16)))</f>
        <v>5084290.2599999988</v>
      </c>
      <c r="F18" s="322"/>
      <c r="G18" s="323">
        <f>IF(G15="","",IF(G15&lt;=0,G15,G15*(1-G16)))</f>
        <v>6052726.5</v>
      </c>
      <c r="H18" s="322"/>
      <c r="I18" s="323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5" t="s">
        <v>264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8"/>
      <c r="G6" s="199"/>
      <c r="H6" s="6"/>
      <c r="I6" s="77"/>
    </row>
    <row r="7" spans="1:10" ht="15" customHeight="1" thickBot="1" x14ac:dyDescent="0.35">
      <c r="B7" s="81" t="s">
        <v>271</v>
      </c>
      <c r="C7" s="309">
        <f>C4*C6</f>
        <v>2102111.9134499999</v>
      </c>
      <c r="D7" s="309">
        <f>D4*D6</f>
        <v>1765774.0072979997</v>
      </c>
      <c r="E7" s="309">
        <f>E4*E6</f>
        <v>2102111.9134499999</v>
      </c>
      <c r="F7" s="310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5">
        <f>D8/(Common_Shares/Data!$C$4)</f>
        <v>0.36594884670417827</v>
      </c>
      <c r="E9" s="305">
        <f>IF(E8="","",E8/(Common_Shares/Data!$C$4))</f>
        <v>0.43565338893354566</v>
      </c>
      <c r="F9" s="305" t="str">
        <f>IF(F8="","",F8/(Common_Shares/Data!$C$4))</f>
        <v/>
      </c>
      <c r="G9" s="306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1">
        <f>C11/C9</f>
        <v>1.0802165481875434</v>
      </c>
      <c r="D10" s="311">
        <f>D11/D9</f>
        <v>0.74245349438041508</v>
      </c>
      <c r="E10" s="327"/>
      <c r="F10" s="327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3">
        <f>0.2973+0.1733</f>
        <v>0.47060000000000002</v>
      </c>
      <c r="D11" s="284">
        <f>0.1131+0.1586</f>
        <v>0.2717</v>
      </c>
      <c r="E11" s="284"/>
      <c r="F11" s="284"/>
      <c r="G11" s="282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12205089.112965779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1.3459142413947469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8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-3173630.5670342199</v>
      </c>
      <c r="D21" s="219">
        <f>C21/(Dashboard!I5/Data!C4)</f>
        <v>-0.34997160099055624</v>
      </c>
      <c r="E21" s="448"/>
      <c r="F21" s="148">
        <f>D18</f>
        <v>1.8156396202299327</v>
      </c>
      <c r="G21" s="147">
        <f>SUM(D19:D21)</f>
        <v>-0.46972537883518584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51" t="s">
        <v>232</v>
      </c>
      <c r="F23" s="451"/>
      <c r="G23" s="451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4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7">
        <v>8</v>
      </c>
      <c r="E25" s="206">
        <f ca="1">G9*D25/G14</f>
        <v>2.7666856483611846</v>
      </c>
      <c r="F25" s="449">
        <f ca="1">SUM(C15:F15)</f>
        <v>0.52035441438061181</v>
      </c>
      <c r="G25" s="206">
        <f ca="1">$F$25+E25+$G$19</f>
        <v>4.6329543041365433</v>
      </c>
      <c r="I25" s="74"/>
    </row>
    <row r="26" spans="1:9" ht="15.75" customHeight="1" x14ac:dyDescent="0.3">
      <c r="B26" s="301" t="s">
        <v>313</v>
      </c>
      <c r="C26" s="302">
        <f t="shared" ref="C26" si="0">1/D26</f>
        <v>6.25E-2</v>
      </c>
      <c r="D26" s="314">
        <v>16</v>
      </c>
      <c r="E26" s="207">
        <f ca="1">G9*D26/G14</f>
        <v>5.5333712967223692</v>
      </c>
      <c r="F26" s="450"/>
      <c r="G26" s="207">
        <f ca="1">$F$25+E26+$G$19</f>
        <v>7.3996399524977274</v>
      </c>
      <c r="I26" s="74" t="s">
        <v>311</v>
      </c>
    </row>
    <row r="27" spans="1:9" ht="15.75" customHeight="1" x14ac:dyDescent="0.3">
      <c r="B27" s="30"/>
      <c r="C27" s="357"/>
      <c r="D27" s="358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3.0007852711918654</v>
      </c>
      <c r="D30" s="23" t="str">
        <f ca="1">IF(C30&lt;E30,"&lt;",IF(C30=E30,"=","&gt;"))</f>
        <v>&lt;</v>
      </c>
      <c r="E30" s="251">
        <f ca="1">G26*Exchange_Rate</f>
        <v>8.4517108059915298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6" t="s">
        <v>153</v>
      </c>
      <c r="D32" s="447"/>
      <c r="E32" s="30" t="s">
        <v>220</v>
      </c>
      <c r="F32" s="30" t="s">
        <v>18</v>
      </c>
      <c r="G32" s="30"/>
      <c r="H32" s="6"/>
    </row>
    <row r="33" spans="2:9" ht="15.75" customHeight="1" x14ac:dyDescent="0.3">
      <c r="B33" s="256" t="s">
        <v>234</v>
      </c>
      <c r="C33" s="253">
        <f ca="1">MIN(C30,E30)+ABS(C30-E30)*'Qualitative Analysis'!$E$64</f>
        <v>6.3197778130229025</v>
      </c>
      <c r="D33" s="119" t="str">
        <f>Dashboard!J4</f>
        <v>HKD</v>
      </c>
      <c r="E33" s="120">
        <f ca="1">(C33-G19)/C9</f>
        <v>11.417020268805636</v>
      </c>
      <c r="F33" s="158">
        <f ca="1">C33/(Data!C28*Exchange_Rate*Data!C4/Common_Shares)</f>
        <v>2.2396388112395047</v>
      </c>
      <c r="G33" s="87"/>
      <c r="H33" s="6"/>
      <c r="I33" s="74"/>
    </row>
    <row r="34" spans="2:9" ht="15.75" customHeight="1" x14ac:dyDescent="0.3">
      <c r="B34" s="255" t="s">
        <v>233</v>
      </c>
      <c r="C34" s="254">
        <f ca="1">MAX(Asset_Model!D7,(G12/(1+G34)^G4+F25+G19)*Exchange_Rate)</f>
        <v>9.0337965998138543</v>
      </c>
      <c r="D34" s="208" t="str">
        <f>D33</f>
        <v>HKD</v>
      </c>
      <c r="E34" s="120">
        <f ca="1">(C34-G19)/C9</f>
        <v>17.646786536513808</v>
      </c>
      <c r="F34" s="158">
        <f ca="1">C34/(Data!C28*Exchange_Rate*Data!C4/Common_Shares)</f>
        <v>3.2014482275143328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4"/>
    </row>
    <row r="11" spans="1:7" ht="15" customHeight="1" x14ac:dyDescent="0.3">
      <c r="B11" s="99" t="s">
        <v>159</v>
      </c>
      <c r="C11" s="93"/>
      <c r="E11" s="6"/>
      <c r="G11" s="294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4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4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 x14ac:dyDescent="0.3">
      <c r="B17" s="99" t="s">
        <v>166</v>
      </c>
      <c r="D17" s="38"/>
      <c r="E17" s="23"/>
      <c r="G17" s="294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4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4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4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4"/>
    </row>
    <row r="23" spans="2:7" ht="15" customHeight="1" x14ac:dyDescent="0.3">
      <c r="B23" s="99" t="s">
        <v>172</v>
      </c>
      <c r="D23" s="38"/>
      <c r="E23" s="23"/>
      <c r="G23" s="294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4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4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4"/>
    </row>
    <row r="29" spans="2:7" ht="15" customHeight="1" x14ac:dyDescent="0.3">
      <c r="B29" s="99" t="s">
        <v>176</v>
      </c>
      <c r="D29" s="38"/>
      <c r="E29" s="23"/>
      <c r="G29" s="294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4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4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4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4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4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4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4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4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4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4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4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4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4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4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4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4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4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4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4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4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4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4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4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4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4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4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2023-03-24T02:28:58Z</dcterms:modified>
  <cp:category/>
  <cp:contentStatus/>
</cp:coreProperties>
</file>